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racoc\Documents\Games Workshop\Epic\Adeptus Titanicus\AT Stats\"/>
    </mc:Choice>
  </mc:AlternateContent>
  <xr:revisionPtr revIDLastSave="0" documentId="13_ncr:1_{7D1F8D2C-0E76-45B4-8A67-99F865394517}" xr6:coauthVersionLast="47" xr6:coauthVersionMax="47" xr10:uidLastSave="{00000000-0000-0000-0000-000000000000}"/>
  <bookViews>
    <workbookView xWindow="30450" yWindow="15" windowWidth="27075" windowHeight="14310" tabRatio="746" activeTab="7" xr2:uid="{6C19E6E8-E2B9-4B44-AC60-5248564D0209}"/>
  </bookViews>
  <sheets>
    <sheet name="Summary" sheetId="4" r:id="rId1"/>
    <sheet name="AT_Chassis" sheetId="1" r:id="rId2"/>
    <sheet name="AT_Weapons" sheetId="5" r:id="rId3"/>
    <sheet name="40K9_Stats" sheetId="3" r:id="rId4"/>
    <sheet name="HH_Stats" sheetId="2" r:id="rId5"/>
    <sheet name="Epic_Stats" sheetId="9" r:id="rId6"/>
    <sheet name="Assumptions" sheetId="6" r:id="rId7"/>
    <sheet name="To Do" sheetId="8" r:id="rId8"/>
    <sheet name="Other_Stats" sheetId="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211" i="5" l="1" a="1"/>
  <c r="AJ211" i="5" a="1"/>
  <c r="AK211" i="5" a="1"/>
  <c r="AL211" i="5" a="1"/>
  <c r="AM211" i="5" a="1"/>
  <c r="AN211" i="5" a="1"/>
  <c r="AO211" i="5" a="1"/>
  <c r="AP211" i="5" a="1"/>
  <c r="AQ211" i="5" a="1"/>
  <c r="AI212" i="5" a="1"/>
  <c r="AJ212" i="5" a="1"/>
  <c r="AK212" i="5" a="1"/>
  <c r="AL212" i="5" a="1"/>
  <c r="AM212" i="5" a="1"/>
  <c r="AN212" i="5" a="1"/>
  <c r="AO212" i="5" a="1"/>
  <c r="AP212" i="5" a="1"/>
  <c r="AQ212" i="5" a="1"/>
  <c r="AI213" i="5" a="1"/>
  <c r="AJ213" i="5" a="1"/>
  <c r="AK213" i="5" a="1"/>
  <c r="AL213" i="5" a="1"/>
  <c r="AM213" i="5" a="1"/>
  <c r="AN213" i="5" a="1"/>
  <c r="AO213" i="5" a="1"/>
  <c r="AP213" i="5" a="1"/>
  <c r="AQ213" i="5" a="1"/>
  <c r="AI214" i="5" a="1"/>
  <c r="AJ214" i="5" a="1"/>
  <c r="AK214" i="5" a="1"/>
  <c r="AL214" i="5" a="1"/>
  <c r="AM214" i="5" a="1"/>
  <c r="AN214" i="5" a="1"/>
  <c r="AO214" i="5" a="1"/>
  <c r="AP214" i="5" a="1"/>
  <c r="AQ214" i="5" a="1"/>
  <c r="AI215" i="5" a="1"/>
  <c r="AJ215" i="5" a="1"/>
  <c r="AK215" i="5" a="1"/>
  <c r="AL215" i="5" a="1"/>
  <c r="AM215" i="5" a="1"/>
  <c r="AN215" i="5" a="1"/>
  <c r="AO215" i="5" a="1"/>
  <c r="AP215" i="5" a="1"/>
  <c r="AQ215" i="5" a="1"/>
  <c r="AI216" i="5" a="1"/>
  <c r="AJ216" i="5" a="1"/>
  <c r="AK216" i="5" a="1"/>
  <c r="AL216" i="5" a="1"/>
  <c r="AM216" i="5" a="1"/>
  <c r="AN216" i="5" a="1"/>
  <c r="AO216" i="5" a="1"/>
  <c r="AP216" i="5" a="1"/>
  <c r="AQ216" i="5" a="1"/>
  <c r="AI217" i="5" a="1"/>
  <c r="AJ217" i="5" a="1"/>
  <c r="AK217" i="5" a="1"/>
  <c r="AL217" i="5" a="1"/>
  <c r="AM217" i="5" a="1"/>
  <c r="AN217" i="5" a="1"/>
  <c r="AO217" i="5" a="1"/>
  <c r="AP217" i="5" a="1"/>
  <c r="AQ217" i="5" a="1"/>
  <c r="AI218" i="5" a="1"/>
  <c r="AJ218" i="5" a="1"/>
  <c r="AK218" i="5" a="1"/>
  <c r="AL218" i="5" a="1"/>
  <c r="AM218" i="5" a="1"/>
  <c r="AN218" i="5" a="1"/>
  <c r="AO218" i="5" a="1"/>
  <c r="AP218" i="5" a="1"/>
  <c r="AQ218" i="5" a="1"/>
  <c r="AI219" i="5" a="1"/>
  <c r="AJ219" i="5" a="1"/>
  <c r="AK219" i="5" a="1"/>
  <c r="AL219" i="5" a="1"/>
  <c r="AM219" i="5" a="1"/>
  <c r="AN219" i="5" a="1"/>
  <c r="AO219" i="5" a="1"/>
  <c r="AP219" i="5" a="1"/>
  <c r="AQ219" i="5" a="1"/>
  <c r="AI220" i="5" a="1"/>
  <c r="AJ220" i="5" a="1"/>
  <c r="AK220" i="5" a="1"/>
  <c r="AL220" i="5" a="1"/>
  <c r="AM220" i="5" a="1"/>
  <c r="AN220" i="5" a="1"/>
  <c r="AO220" i="5" a="1"/>
  <c r="AP220" i="5" a="1"/>
  <c r="AQ220" i="5" a="1"/>
  <c r="AI221" i="5" a="1"/>
  <c r="AJ221" i="5" a="1"/>
  <c r="AK221" i="5" a="1"/>
  <c r="AL221" i="5" a="1"/>
  <c r="AM221" i="5" a="1"/>
  <c r="AN221" i="5" a="1"/>
  <c r="AO221" i="5" a="1"/>
  <c r="AP221" i="5" a="1"/>
  <c r="AQ221" i="5" a="1"/>
  <c r="AI222" i="5" a="1"/>
  <c r="AJ222" i="5" a="1"/>
  <c r="AK222" i="5" a="1"/>
  <c r="AL222" i="5" a="1"/>
  <c r="AM222" i="5" a="1"/>
  <c r="AN222" i="5" a="1"/>
  <c r="AO222" i="5" a="1"/>
  <c r="AP222" i="5" a="1"/>
  <c r="AQ222" i="5" a="1"/>
  <c r="AI223" i="5" a="1"/>
  <c r="AJ223" i="5" a="1"/>
  <c r="AK223" i="5" a="1"/>
  <c r="AL223" i="5" a="1"/>
  <c r="AM223" i="5" a="1"/>
  <c r="AN223" i="5" a="1"/>
  <c r="AO223" i="5" a="1"/>
  <c r="AP223" i="5" a="1"/>
  <c r="AQ223" i="5" a="1"/>
  <c r="AI224" i="5" a="1"/>
  <c r="AJ224" i="5" a="1"/>
  <c r="AK224" i="5" a="1"/>
  <c r="AL224" i="5" a="1"/>
  <c r="AM224" i="5" a="1"/>
  <c r="AN224" i="5" a="1"/>
  <c r="AO224" i="5" a="1"/>
  <c r="AP224" i="5" a="1"/>
  <c r="AQ224" i="5" a="1"/>
  <c r="AI225" i="5" a="1"/>
  <c r="AJ225" i="5" a="1"/>
  <c r="AK225" i="5" a="1"/>
  <c r="AL225" i="5" a="1"/>
  <c r="AM225" i="5" a="1"/>
  <c r="AN225" i="5" a="1"/>
  <c r="AO225" i="5" a="1"/>
  <c r="AP225" i="5" a="1"/>
  <c r="AQ225" i="5" a="1"/>
  <c r="AI226" i="5" a="1"/>
  <c r="AJ226" i="5" a="1"/>
  <c r="AK226" i="5" a="1"/>
  <c r="AL226" i="5" a="1"/>
  <c r="AM226" i="5" a="1"/>
  <c r="AN226" i="5" a="1"/>
  <c r="AO226" i="5" a="1"/>
  <c r="AP226" i="5" a="1"/>
  <c r="AQ226" i="5" a="1"/>
  <c r="AI227" i="5" a="1"/>
  <c r="AJ227" i="5" a="1"/>
  <c r="AK227" i="5" a="1"/>
  <c r="AL227" i="5" a="1"/>
  <c r="AM227" i="5" a="1"/>
  <c r="AN227" i="5" a="1"/>
  <c r="AO227" i="5" a="1"/>
  <c r="AP227" i="5" a="1"/>
  <c r="AQ227" i="5" a="1"/>
  <c r="AI228" i="5" a="1"/>
  <c r="AJ228" i="5" a="1"/>
  <c r="AK228" i="5" a="1"/>
  <c r="AL228" i="5" a="1"/>
  <c r="AM228" i="5" a="1"/>
  <c r="AN228" i="5" a="1"/>
  <c r="AO228" i="5" a="1"/>
  <c r="AP228" i="5" a="1"/>
  <c r="AQ228" i="5" a="1"/>
  <c r="AI229" i="5" a="1"/>
  <c r="AJ229" i="5" a="1"/>
  <c r="AK229" i="5" a="1"/>
  <c r="AL229" i="5" a="1"/>
  <c r="AM229" i="5" a="1"/>
  <c r="AN229" i="5" a="1"/>
  <c r="AO229" i="5" a="1"/>
  <c r="AP229" i="5" a="1"/>
  <c r="AQ229" i="5" a="1"/>
  <c r="AI230" i="5" a="1"/>
  <c r="AJ230" i="5" a="1"/>
  <c r="AK230" i="5" a="1"/>
  <c r="AL230" i="5" a="1"/>
  <c r="AM230" i="5" a="1"/>
  <c r="AN230" i="5" a="1"/>
  <c r="AO230" i="5" a="1"/>
  <c r="AP230" i="5" a="1"/>
  <c r="AQ230" i="5" a="1"/>
  <c r="AI231" i="5" a="1"/>
  <c r="AJ231" i="5" a="1"/>
  <c r="AK231" i="5" a="1"/>
  <c r="AL231" i="5" a="1"/>
  <c r="AM231" i="5" a="1"/>
  <c r="AN231" i="5" a="1"/>
  <c r="AO231" i="5" a="1"/>
  <c r="AP231" i="5" a="1"/>
  <c r="AQ231" i="5" a="1"/>
  <c r="AI232" i="5" a="1"/>
  <c r="AU232" i="5" s="1"/>
  <c r="AJ232" i="5" a="1"/>
  <c r="AK232" i="5" a="1"/>
  <c r="AL232" i="5" a="1"/>
  <c r="AM232" i="5" a="1"/>
  <c r="AN232" i="5" a="1"/>
  <c r="AO232" i="5" a="1"/>
  <c r="AP232" i="5" a="1"/>
  <c r="AQ232" i="5" a="1"/>
  <c r="AI233" i="5" a="1"/>
  <c r="AJ233" i="5" a="1"/>
  <c r="AK233" i="5" a="1"/>
  <c r="AL233" i="5" a="1"/>
  <c r="AM233" i="5" a="1"/>
  <c r="AN233" i="5" a="1"/>
  <c r="AO233" i="5" a="1"/>
  <c r="AP233" i="5" a="1"/>
  <c r="AQ233" i="5" a="1"/>
  <c r="AI234" i="5" a="1"/>
  <c r="AJ234" i="5" a="1"/>
  <c r="AK234" i="5" a="1"/>
  <c r="AL234" i="5" a="1"/>
  <c r="AM234" i="5" a="1"/>
  <c r="AN234" i="5" a="1"/>
  <c r="AO234" i="5" a="1"/>
  <c r="AP234" i="5" a="1"/>
  <c r="AQ234" i="5" a="1"/>
  <c r="AI235" i="5" a="1"/>
  <c r="AJ235" i="5" a="1"/>
  <c r="AK235" i="5" a="1"/>
  <c r="AL235" i="5" a="1"/>
  <c r="AM235" i="5" a="1"/>
  <c r="AN235" i="5" a="1"/>
  <c r="AO235" i="5" a="1"/>
  <c r="AP235" i="5" a="1"/>
  <c r="AQ235" i="5" a="1"/>
  <c r="AI236" i="5" a="1"/>
  <c r="AJ236" i="5" a="1"/>
  <c r="AK236" i="5" a="1"/>
  <c r="AL236" i="5" a="1"/>
  <c r="AM236" i="5" a="1"/>
  <c r="AN236" i="5" a="1"/>
  <c r="AO236" i="5" a="1"/>
  <c r="AP236" i="5" a="1"/>
  <c r="AQ236" i="5" a="1"/>
  <c r="AI237" i="5" a="1"/>
  <c r="AJ237" i="5" a="1"/>
  <c r="AK237" i="5" a="1"/>
  <c r="AL237" i="5" a="1"/>
  <c r="AM237" i="5" a="1"/>
  <c r="AN237" i="5" a="1"/>
  <c r="AO237" i="5" a="1"/>
  <c r="AP237" i="5" a="1"/>
  <c r="AQ237" i="5" a="1"/>
  <c r="AI238" i="5" a="1"/>
  <c r="AJ238" i="5" a="1"/>
  <c r="AK238" i="5" a="1"/>
  <c r="AL238" i="5" a="1"/>
  <c r="AM238" i="5" a="1"/>
  <c r="AN238" i="5" a="1"/>
  <c r="AO238" i="5" a="1"/>
  <c r="AP238" i="5" a="1"/>
  <c r="AQ238" i="5" a="1"/>
  <c r="AI239" i="5" a="1"/>
  <c r="AJ239" i="5" a="1"/>
  <c r="AK239" i="5" a="1"/>
  <c r="AL239" i="5" a="1"/>
  <c r="AM239" i="5" a="1"/>
  <c r="AN239" i="5" a="1"/>
  <c r="AO239" i="5" a="1"/>
  <c r="AP239" i="5" a="1"/>
  <c r="AQ239" i="5" a="1"/>
  <c r="AI240" i="5" a="1"/>
  <c r="AJ240" i="5" a="1"/>
  <c r="AK240" i="5" a="1"/>
  <c r="AL240" i="5" a="1"/>
  <c r="AM240" i="5" a="1"/>
  <c r="AN240" i="5" a="1"/>
  <c r="AO240" i="5" a="1"/>
  <c r="AP240" i="5" a="1"/>
  <c r="AQ240" i="5" a="1"/>
  <c r="AI241" i="5" a="1"/>
  <c r="AJ241" i="5" a="1"/>
  <c r="AK241" i="5" a="1"/>
  <c r="AL241" i="5" a="1"/>
  <c r="AM241" i="5" a="1"/>
  <c r="AN241" i="5" a="1"/>
  <c r="AO241" i="5" a="1"/>
  <c r="AP241" i="5" a="1"/>
  <c r="AQ241" i="5" a="1"/>
  <c r="AI242" i="5" a="1"/>
  <c r="AJ242" i="5" a="1"/>
  <c r="AK242" i="5" a="1"/>
  <c r="AL242" i="5" a="1"/>
  <c r="AM242" i="5" a="1"/>
  <c r="AN242" i="5" a="1"/>
  <c r="AO242" i="5" a="1"/>
  <c r="AP242" i="5" a="1"/>
  <c r="AQ242" i="5" a="1"/>
  <c r="AI243" i="5" a="1"/>
  <c r="AJ243" i="5" a="1"/>
  <c r="AK243" i="5" a="1"/>
  <c r="AL243" i="5" a="1"/>
  <c r="AM243" i="5" a="1"/>
  <c r="AN243" i="5" a="1"/>
  <c r="AO243" i="5" a="1"/>
  <c r="AP243" i="5" a="1"/>
  <c r="AQ243" i="5" a="1"/>
  <c r="AI244" i="5" a="1"/>
  <c r="AJ244" i="5" a="1"/>
  <c r="AK244" i="5" a="1"/>
  <c r="AL244" i="5" a="1"/>
  <c r="AM244" i="5" a="1"/>
  <c r="AN244" i="5" a="1"/>
  <c r="AO244" i="5" a="1"/>
  <c r="AP244" i="5" a="1"/>
  <c r="AQ244" i="5" a="1"/>
  <c r="AI245" i="5" a="1"/>
  <c r="AJ245" i="5" a="1"/>
  <c r="AK245" i="5" a="1"/>
  <c r="AL245" i="5" a="1"/>
  <c r="AM245" i="5" a="1"/>
  <c r="AN245" i="5" a="1"/>
  <c r="AO245" i="5" a="1"/>
  <c r="AP245" i="5" a="1"/>
  <c r="AQ245" i="5" a="1"/>
  <c r="AI246" i="5" a="1"/>
  <c r="AJ246" i="5" a="1"/>
  <c r="AK246" i="5" a="1"/>
  <c r="AL246" i="5" a="1"/>
  <c r="AM246" i="5" a="1"/>
  <c r="AN246" i="5" a="1"/>
  <c r="AO246" i="5" a="1"/>
  <c r="AP246" i="5" a="1"/>
  <c r="AQ246" i="5" a="1"/>
  <c r="AI247" i="5" a="1"/>
  <c r="AJ247" i="5" a="1"/>
  <c r="AK247" i="5" a="1"/>
  <c r="AL247" i="5" a="1"/>
  <c r="AM247" i="5" a="1"/>
  <c r="AN247" i="5" a="1"/>
  <c r="AO247" i="5" a="1"/>
  <c r="AP247" i="5" a="1"/>
  <c r="AQ247" i="5" a="1"/>
  <c r="AI248" i="5" a="1"/>
  <c r="AJ248" i="5" a="1"/>
  <c r="AK248" i="5" a="1"/>
  <c r="AL248" i="5" a="1"/>
  <c r="AM248" i="5" a="1"/>
  <c r="AN248" i="5" a="1"/>
  <c r="AO248" i="5" a="1"/>
  <c r="AP248" i="5" a="1"/>
  <c r="AQ248" i="5" a="1"/>
  <c r="AI249" i="5" a="1"/>
  <c r="AJ249" i="5" a="1"/>
  <c r="AK249" i="5" a="1"/>
  <c r="AL249" i="5" a="1"/>
  <c r="AM249" i="5" a="1"/>
  <c r="AN249" i="5" a="1"/>
  <c r="AO249" i="5" a="1"/>
  <c r="AP249" i="5" a="1"/>
  <c r="AQ249" i="5" a="1"/>
  <c r="AI250" i="5" a="1"/>
  <c r="AJ250" i="5" a="1"/>
  <c r="AK250" i="5" a="1"/>
  <c r="AL250" i="5" a="1"/>
  <c r="AM250" i="5" a="1"/>
  <c r="AN250" i="5" a="1"/>
  <c r="AO250" i="5" a="1"/>
  <c r="AP250" i="5" a="1"/>
  <c r="AQ250" i="5" a="1"/>
  <c r="AI251" i="5" a="1"/>
  <c r="AJ251" i="5" a="1"/>
  <c r="AK251" i="5" a="1"/>
  <c r="AL251" i="5" a="1"/>
  <c r="AM251" i="5" a="1"/>
  <c r="AN251" i="5" a="1"/>
  <c r="AO251" i="5" a="1"/>
  <c r="AP251" i="5" a="1"/>
  <c r="AQ251" i="5" a="1"/>
  <c r="AI252" i="5" a="1"/>
  <c r="AJ252" i="5" a="1"/>
  <c r="AK252" i="5" a="1"/>
  <c r="AL252" i="5" a="1"/>
  <c r="AM252" i="5" a="1"/>
  <c r="AN252" i="5" a="1"/>
  <c r="AO252" i="5" a="1"/>
  <c r="AP252" i="5" a="1"/>
  <c r="AQ252" i="5" a="1"/>
  <c r="AI253" i="5" a="1"/>
  <c r="AJ253" i="5" a="1"/>
  <c r="AK253" i="5" a="1"/>
  <c r="AL253" i="5" a="1"/>
  <c r="AM253" i="5" a="1"/>
  <c r="AN253" i="5" a="1"/>
  <c r="AO253" i="5" a="1"/>
  <c r="AP253" i="5" a="1"/>
  <c r="AQ253" i="5" a="1"/>
  <c r="AI254" i="5" a="1"/>
  <c r="AJ254" i="5" a="1"/>
  <c r="AK254" i="5" a="1"/>
  <c r="AL254" i="5" a="1"/>
  <c r="AM254" i="5" a="1"/>
  <c r="AN254" i="5" a="1"/>
  <c r="AO254" i="5" a="1"/>
  <c r="AP254" i="5" a="1"/>
  <c r="AQ254" i="5" a="1"/>
  <c r="AI255" i="5" a="1"/>
  <c r="AJ255" i="5" a="1"/>
  <c r="AK255" i="5" a="1"/>
  <c r="AL255" i="5" a="1"/>
  <c r="AM255" i="5" a="1"/>
  <c r="AN255" i="5" a="1"/>
  <c r="AO255" i="5" a="1"/>
  <c r="AP255" i="5" a="1"/>
  <c r="AQ255" i="5" a="1"/>
  <c r="AQ210" i="5" a="1"/>
  <c r="AP210" i="5" a="1"/>
  <c r="AO210" i="5" a="1"/>
  <c r="AN210" i="5" a="1"/>
  <c r="AM210" i="5" a="1"/>
  <c r="AL210" i="5" a="1"/>
  <c r="AK210" i="5" a="1"/>
  <c r="AJ210" i="5" a="1"/>
  <c r="AI210" i="5" a="1"/>
  <c r="AI68" i="5" a="1"/>
  <c r="AJ68" i="5" a="1"/>
  <c r="AK68" i="5" a="1"/>
  <c r="AL68" i="5" a="1"/>
  <c r="AM68" i="5" a="1"/>
  <c r="AN68" i="5" a="1"/>
  <c r="AO68" i="5" a="1"/>
  <c r="AP68" i="5" a="1"/>
  <c r="AQ68" i="5" a="1"/>
  <c r="AI69" i="5" a="1"/>
  <c r="AJ69" i="5" a="1"/>
  <c r="AK69" i="5" a="1"/>
  <c r="AL69" i="5" a="1"/>
  <c r="AM69" i="5" a="1"/>
  <c r="AN69" i="5" a="1"/>
  <c r="AO69" i="5" a="1"/>
  <c r="AP69" i="5" a="1"/>
  <c r="AQ69" i="5" a="1"/>
  <c r="AI70" i="5" a="1"/>
  <c r="AJ70" i="5" a="1"/>
  <c r="AK70" i="5" a="1"/>
  <c r="AL70" i="5" a="1"/>
  <c r="AM70" i="5" a="1"/>
  <c r="AN70" i="5" a="1"/>
  <c r="AO70" i="5" a="1"/>
  <c r="AP70" i="5" a="1"/>
  <c r="AQ70" i="5" a="1"/>
  <c r="AI71" i="5" a="1"/>
  <c r="AJ71" i="5" a="1"/>
  <c r="AK71" i="5" a="1"/>
  <c r="AL71" i="5" a="1"/>
  <c r="AM71" i="5" a="1"/>
  <c r="AN71" i="5" a="1"/>
  <c r="AO71" i="5" a="1"/>
  <c r="AP71" i="5" a="1"/>
  <c r="AQ71" i="5" a="1"/>
  <c r="AI72" i="5" a="1"/>
  <c r="AJ72" i="5" a="1"/>
  <c r="AK72" i="5" a="1"/>
  <c r="AL72" i="5" a="1"/>
  <c r="AM72" i="5" a="1"/>
  <c r="AN72" i="5" a="1"/>
  <c r="AO72" i="5" a="1"/>
  <c r="AP72" i="5" a="1"/>
  <c r="AQ72" i="5" a="1"/>
  <c r="AI73" i="5" a="1"/>
  <c r="AJ73" i="5" a="1"/>
  <c r="AK73" i="5" a="1"/>
  <c r="AL73" i="5" a="1"/>
  <c r="AM73" i="5" a="1"/>
  <c r="AN73" i="5" a="1"/>
  <c r="AO73" i="5" a="1"/>
  <c r="AP73" i="5" a="1"/>
  <c r="AQ73" i="5" a="1"/>
  <c r="AI74" i="5" a="1"/>
  <c r="AJ74" i="5" a="1"/>
  <c r="AK74" i="5" a="1"/>
  <c r="AL74" i="5" a="1"/>
  <c r="AM74" i="5" a="1"/>
  <c r="AN74" i="5" a="1"/>
  <c r="AO74" i="5" a="1"/>
  <c r="AP74" i="5" a="1"/>
  <c r="AQ74" i="5" a="1"/>
  <c r="AI75" i="5" a="1"/>
  <c r="AU75" i="5" s="1"/>
  <c r="AJ75" i="5" a="1"/>
  <c r="AK75" i="5" a="1"/>
  <c r="AL75" i="5" a="1"/>
  <c r="AM75" i="5" a="1"/>
  <c r="AN75" i="5" a="1"/>
  <c r="AO75" i="5" a="1"/>
  <c r="AP75" i="5" a="1"/>
  <c r="AQ75" i="5" a="1"/>
  <c r="AI76" i="5" a="1"/>
  <c r="AJ76" i="5" a="1"/>
  <c r="AK76" i="5" a="1"/>
  <c r="AL76" i="5" a="1"/>
  <c r="AM76" i="5" a="1"/>
  <c r="AN76" i="5" a="1"/>
  <c r="AO76" i="5" a="1"/>
  <c r="AP76" i="5" a="1"/>
  <c r="AQ76" i="5" a="1"/>
  <c r="AI77" i="5" a="1"/>
  <c r="AJ77" i="5" a="1"/>
  <c r="AK77" i="5" a="1"/>
  <c r="AL77" i="5" a="1"/>
  <c r="AM77" i="5" a="1"/>
  <c r="AN77" i="5" a="1"/>
  <c r="AO77" i="5" a="1"/>
  <c r="AP77" i="5" a="1"/>
  <c r="AQ77" i="5" a="1"/>
  <c r="AI78" i="5" a="1"/>
  <c r="AJ78" i="5" a="1"/>
  <c r="AK78" i="5" a="1"/>
  <c r="AL78" i="5" a="1"/>
  <c r="AM78" i="5" a="1"/>
  <c r="AN78" i="5" a="1"/>
  <c r="AO78" i="5" a="1"/>
  <c r="AP78" i="5" a="1"/>
  <c r="AQ78" i="5" a="1"/>
  <c r="AI79" i="5" a="1"/>
  <c r="AJ79" i="5" a="1"/>
  <c r="AK79" i="5" a="1"/>
  <c r="AL79" i="5" a="1"/>
  <c r="AM79" i="5" a="1"/>
  <c r="AN79" i="5" a="1"/>
  <c r="AO79" i="5" a="1"/>
  <c r="AP79" i="5" a="1"/>
  <c r="AQ79" i="5" a="1"/>
  <c r="AI80" i="5" a="1"/>
  <c r="AJ80" i="5" a="1"/>
  <c r="AK80" i="5" a="1"/>
  <c r="AL80" i="5" a="1"/>
  <c r="AM80" i="5" a="1"/>
  <c r="AN80" i="5" a="1"/>
  <c r="AO80" i="5" a="1"/>
  <c r="AP80" i="5" a="1"/>
  <c r="AQ80" i="5" a="1"/>
  <c r="AI81" i="5" a="1"/>
  <c r="AJ81" i="5" a="1"/>
  <c r="AK81" i="5" a="1"/>
  <c r="AL81" i="5" a="1"/>
  <c r="AM81" i="5" a="1"/>
  <c r="AN81" i="5" a="1"/>
  <c r="AO81" i="5" a="1"/>
  <c r="AP81" i="5" a="1"/>
  <c r="AQ81" i="5" a="1"/>
  <c r="AI82" i="5" a="1"/>
  <c r="AJ82" i="5" a="1"/>
  <c r="AK82" i="5" a="1"/>
  <c r="AL82" i="5" a="1"/>
  <c r="AM82" i="5" a="1"/>
  <c r="AN82" i="5" a="1"/>
  <c r="AO82" i="5" a="1"/>
  <c r="AP82" i="5" a="1"/>
  <c r="AQ82" i="5" a="1"/>
  <c r="AI83" i="5" a="1"/>
  <c r="AJ83" i="5" a="1"/>
  <c r="AK83" i="5" a="1"/>
  <c r="AL83" i="5" a="1"/>
  <c r="AM83" i="5" a="1"/>
  <c r="AN83" i="5" a="1"/>
  <c r="AO83" i="5" a="1"/>
  <c r="AP83" i="5" a="1"/>
  <c r="AQ83" i="5" a="1"/>
  <c r="AI84" i="5" a="1"/>
  <c r="AJ84" i="5" a="1"/>
  <c r="AK84" i="5" a="1"/>
  <c r="AL84" i="5" a="1"/>
  <c r="AM84" i="5" a="1"/>
  <c r="AN84" i="5" a="1"/>
  <c r="AO84" i="5" a="1"/>
  <c r="AP84" i="5" a="1"/>
  <c r="AQ84" i="5" a="1"/>
  <c r="AI85" i="5" a="1"/>
  <c r="AJ85" i="5" a="1"/>
  <c r="AK85" i="5" a="1"/>
  <c r="AL85" i="5" a="1"/>
  <c r="AM85" i="5" a="1"/>
  <c r="AN85" i="5" a="1"/>
  <c r="AO85" i="5" a="1"/>
  <c r="AP85" i="5" a="1"/>
  <c r="AQ85" i="5" a="1"/>
  <c r="AI86" i="5" a="1"/>
  <c r="AJ86" i="5" a="1"/>
  <c r="AK86" i="5" a="1"/>
  <c r="AL86" i="5" a="1"/>
  <c r="AM86" i="5" a="1"/>
  <c r="AN86" i="5" a="1"/>
  <c r="AO86" i="5" a="1"/>
  <c r="AP86" i="5" a="1"/>
  <c r="AQ86" i="5" a="1"/>
  <c r="AI87" i="5" a="1"/>
  <c r="AJ87" i="5" a="1"/>
  <c r="AK87" i="5" a="1"/>
  <c r="AL87" i="5" a="1"/>
  <c r="AM87" i="5" a="1"/>
  <c r="AN87" i="5" a="1"/>
  <c r="AO87" i="5" a="1"/>
  <c r="AP87" i="5" a="1"/>
  <c r="AQ87" i="5" a="1"/>
  <c r="AI88" i="5" a="1"/>
  <c r="AJ88" i="5" a="1"/>
  <c r="AK88" i="5" a="1"/>
  <c r="AL88" i="5" a="1"/>
  <c r="AM88" i="5" a="1"/>
  <c r="AN88" i="5" a="1"/>
  <c r="AO88" i="5" a="1"/>
  <c r="AP88" i="5" a="1"/>
  <c r="AQ88" i="5" a="1"/>
  <c r="AI89" i="5" a="1"/>
  <c r="AJ89" i="5" a="1"/>
  <c r="AK89" i="5" a="1"/>
  <c r="AL89" i="5" a="1"/>
  <c r="AM89" i="5" a="1"/>
  <c r="AN89" i="5" a="1"/>
  <c r="AO89" i="5" a="1"/>
  <c r="AP89" i="5" a="1"/>
  <c r="AQ89" i="5" a="1"/>
  <c r="AI90" i="5" a="1"/>
  <c r="AJ90" i="5" a="1"/>
  <c r="AK90" i="5" a="1"/>
  <c r="AL90" i="5" a="1"/>
  <c r="AM90" i="5" a="1"/>
  <c r="AN90" i="5" a="1"/>
  <c r="AO90" i="5" a="1"/>
  <c r="AP90" i="5" a="1"/>
  <c r="AQ90" i="5" a="1"/>
  <c r="AI91" i="5" a="1"/>
  <c r="AJ91" i="5" a="1"/>
  <c r="AK91" i="5" a="1"/>
  <c r="AL91" i="5" a="1"/>
  <c r="AM91" i="5" a="1"/>
  <c r="AN91" i="5" a="1"/>
  <c r="AO91" i="5" a="1"/>
  <c r="AP91" i="5" a="1"/>
  <c r="AQ91" i="5" a="1"/>
  <c r="AI92" i="5" a="1"/>
  <c r="AJ92" i="5" a="1"/>
  <c r="AK92" i="5" a="1"/>
  <c r="AL92" i="5" a="1"/>
  <c r="AM92" i="5" a="1"/>
  <c r="AN92" i="5" a="1"/>
  <c r="AO92" i="5" a="1"/>
  <c r="AP92" i="5" a="1"/>
  <c r="AQ92" i="5" a="1"/>
  <c r="AI93" i="5" a="1"/>
  <c r="AJ93" i="5" a="1"/>
  <c r="AK93" i="5" a="1"/>
  <c r="AL93" i="5" a="1"/>
  <c r="AM93" i="5" a="1"/>
  <c r="AN93" i="5" a="1"/>
  <c r="AO93" i="5" a="1"/>
  <c r="AP93" i="5" a="1"/>
  <c r="AQ93" i="5" a="1"/>
  <c r="AI94" i="5" a="1"/>
  <c r="AJ94" i="5" a="1"/>
  <c r="AK94" i="5" a="1"/>
  <c r="AL94" i="5" a="1"/>
  <c r="AM94" i="5" a="1"/>
  <c r="AN94" i="5" a="1"/>
  <c r="AO94" i="5" a="1"/>
  <c r="AP94" i="5" a="1"/>
  <c r="AQ94" i="5" a="1"/>
  <c r="AI95" i="5" a="1"/>
  <c r="AJ95" i="5" a="1"/>
  <c r="AK95" i="5" a="1"/>
  <c r="AL95" i="5" a="1"/>
  <c r="AM95" i="5" a="1"/>
  <c r="AN95" i="5" a="1"/>
  <c r="AO95" i="5" a="1"/>
  <c r="AP95" i="5" a="1"/>
  <c r="AQ95" i="5" a="1"/>
  <c r="AI96" i="5" a="1"/>
  <c r="AJ96" i="5" a="1"/>
  <c r="AK96" i="5" a="1"/>
  <c r="AL96" i="5" a="1"/>
  <c r="AM96" i="5" a="1"/>
  <c r="AN96" i="5" a="1"/>
  <c r="AO96" i="5" a="1"/>
  <c r="AP96" i="5" a="1"/>
  <c r="AQ96" i="5" a="1"/>
  <c r="AI97" i="5" a="1"/>
  <c r="AJ97" i="5" a="1"/>
  <c r="AK97" i="5" a="1"/>
  <c r="AL97" i="5" a="1"/>
  <c r="AM97" i="5" a="1"/>
  <c r="AN97" i="5" a="1"/>
  <c r="AO97" i="5" a="1"/>
  <c r="AP97" i="5" a="1"/>
  <c r="AQ97" i="5" a="1"/>
  <c r="AI98" i="5" a="1"/>
  <c r="AJ98" i="5" a="1"/>
  <c r="AK98" i="5" a="1"/>
  <c r="AL98" i="5" a="1"/>
  <c r="AM98" i="5" a="1"/>
  <c r="AN98" i="5" a="1"/>
  <c r="AO98" i="5" a="1"/>
  <c r="AP98" i="5" a="1"/>
  <c r="AQ98" i="5" a="1"/>
  <c r="AI99" i="5" a="1"/>
  <c r="AJ99" i="5" a="1"/>
  <c r="AK99" i="5" a="1"/>
  <c r="AL99" i="5" a="1"/>
  <c r="AM99" i="5" a="1"/>
  <c r="AN99" i="5" a="1"/>
  <c r="AO99" i="5" a="1"/>
  <c r="AP99" i="5" a="1"/>
  <c r="AQ99" i="5" a="1"/>
  <c r="AI100" i="5" a="1"/>
  <c r="AJ100" i="5" a="1"/>
  <c r="AK100" i="5" a="1"/>
  <c r="AL100" i="5" a="1"/>
  <c r="AM100" i="5" a="1"/>
  <c r="AN100" i="5" a="1"/>
  <c r="AO100" i="5" a="1"/>
  <c r="AP100" i="5" a="1"/>
  <c r="AQ100" i="5" a="1"/>
  <c r="AI101" i="5" a="1"/>
  <c r="AJ101" i="5" a="1"/>
  <c r="AK101" i="5" a="1"/>
  <c r="AL101" i="5" a="1"/>
  <c r="AM101" i="5" a="1"/>
  <c r="AN101" i="5" a="1"/>
  <c r="AO101" i="5" a="1"/>
  <c r="AP101" i="5" a="1"/>
  <c r="AQ101" i="5" a="1"/>
  <c r="AI102" i="5" a="1"/>
  <c r="AJ102" i="5" a="1"/>
  <c r="AK102" i="5" a="1"/>
  <c r="AL102" i="5" a="1"/>
  <c r="AM102" i="5" a="1"/>
  <c r="AN102" i="5" a="1"/>
  <c r="AO102" i="5" a="1"/>
  <c r="AP102" i="5" a="1"/>
  <c r="AQ102" i="5" a="1"/>
  <c r="AI103" i="5" a="1"/>
  <c r="AJ103" i="5" a="1"/>
  <c r="AK103" i="5" a="1"/>
  <c r="AL103" i="5" a="1"/>
  <c r="AM103" i="5" a="1"/>
  <c r="AN103" i="5" a="1"/>
  <c r="AO103" i="5" a="1"/>
  <c r="AP103" i="5" a="1"/>
  <c r="AQ103" i="5" a="1"/>
  <c r="AI104" i="5" a="1"/>
  <c r="AJ104" i="5" a="1"/>
  <c r="AK104" i="5" a="1"/>
  <c r="AL104" i="5" a="1"/>
  <c r="AM104" i="5" a="1"/>
  <c r="AN104" i="5" a="1"/>
  <c r="AO104" i="5" a="1"/>
  <c r="AP104" i="5" a="1"/>
  <c r="AQ104" i="5" a="1"/>
  <c r="AI105" i="5" a="1"/>
  <c r="AJ105" i="5" a="1"/>
  <c r="AK105" i="5" a="1"/>
  <c r="AL105" i="5" a="1"/>
  <c r="AM105" i="5" a="1"/>
  <c r="AN105" i="5" a="1"/>
  <c r="AO105" i="5" a="1"/>
  <c r="AP105" i="5" a="1"/>
  <c r="AQ105" i="5" a="1"/>
  <c r="AI106" i="5" a="1"/>
  <c r="AJ106" i="5" a="1"/>
  <c r="AK106" i="5" a="1"/>
  <c r="AL106" i="5" a="1"/>
  <c r="AM106" i="5" a="1"/>
  <c r="AN106" i="5" a="1"/>
  <c r="AO106" i="5" a="1"/>
  <c r="AP106" i="5" a="1"/>
  <c r="AQ106" i="5" a="1"/>
  <c r="AI107" i="5" a="1"/>
  <c r="AJ107" i="5" a="1"/>
  <c r="AK107" i="5" a="1"/>
  <c r="AL107" i="5" a="1"/>
  <c r="AM107" i="5" a="1"/>
  <c r="AN107" i="5" a="1"/>
  <c r="AO107" i="5" a="1"/>
  <c r="AP107" i="5" a="1"/>
  <c r="AQ107" i="5" a="1"/>
  <c r="AI108" i="5" a="1"/>
  <c r="AJ108" i="5" a="1"/>
  <c r="AK108" i="5" a="1"/>
  <c r="AL108" i="5" a="1"/>
  <c r="AM108" i="5" a="1"/>
  <c r="AN108" i="5" a="1"/>
  <c r="AO108" i="5" a="1"/>
  <c r="AP108" i="5" a="1"/>
  <c r="AQ108" i="5" a="1"/>
  <c r="AI109" i="5" a="1"/>
  <c r="AJ109" i="5" a="1"/>
  <c r="AK109" i="5" a="1"/>
  <c r="AL109" i="5" a="1"/>
  <c r="AM109" i="5" a="1"/>
  <c r="AN109" i="5" a="1"/>
  <c r="AO109" i="5" a="1"/>
  <c r="AP109" i="5" a="1"/>
  <c r="AQ109" i="5" a="1"/>
  <c r="AI110" i="5" a="1"/>
  <c r="AJ110" i="5" a="1"/>
  <c r="AK110" i="5" a="1"/>
  <c r="AL110" i="5" a="1"/>
  <c r="AM110" i="5" a="1"/>
  <c r="AN110" i="5" a="1"/>
  <c r="AO110" i="5" a="1"/>
  <c r="AP110" i="5" a="1"/>
  <c r="AQ110" i="5" a="1"/>
  <c r="AI111" i="5" a="1"/>
  <c r="AJ111" i="5" a="1"/>
  <c r="AK111" i="5" a="1"/>
  <c r="AL111" i="5" a="1"/>
  <c r="AM111" i="5" a="1"/>
  <c r="AN111" i="5" a="1"/>
  <c r="AO111" i="5" a="1"/>
  <c r="AP111" i="5" a="1"/>
  <c r="AQ111" i="5" a="1"/>
  <c r="AI112" i="5" a="1"/>
  <c r="AJ112" i="5" a="1"/>
  <c r="AK112" i="5" a="1"/>
  <c r="AL112" i="5" a="1"/>
  <c r="AM112" i="5" a="1"/>
  <c r="AN112" i="5" a="1"/>
  <c r="AO112" i="5" a="1"/>
  <c r="AP112" i="5" a="1"/>
  <c r="AQ112" i="5" a="1"/>
  <c r="AI113" i="5" a="1"/>
  <c r="AJ113" i="5" a="1"/>
  <c r="AK113" i="5" a="1"/>
  <c r="AL113" i="5" a="1"/>
  <c r="AM113" i="5" a="1"/>
  <c r="AN113" i="5" a="1"/>
  <c r="AO113" i="5" a="1"/>
  <c r="AP113" i="5" a="1"/>
  <c r="AQ113" i="5" a="1"/>
  <c r="AI114" i="5" a="1"/>
  <c r="AJ114" i="5" a="1"/>
  <c r="AK114" i="5" a="1"/>
  <c r="AL114" i="5" a="1"/>
  <c r="AM114" i="5" a="1"/>
  <c r="AN114" i="5" a="1"/>
  <c r="AO114" i="5" a="1"/>
  <c r="AP114" i="5" a="1"/>
  <c r="AQ114" i="5" a="1"/>
  <c r="AI115" i="5" a="1"/>
  <c r="AU115" i="5" s="1"/>
  <c r="AJ115" i="5" a="1"/>
  <c r="AK115" i="5" a="1"/>
  <c r="AL115" i="5" a="1"/>
  <c r="AM115" i="5" a="1"/>
  <c r="AN115" i="5" a="1"/>
  <c r="AO115" i="5" a="1"/>
  <c r="AP115" i="5" a="1"/>
  <c r="AQ115" i="5" a="1"/>
  <c r="AI116" i="5" a="1"/>
  <c r="AJ116" i="5" a="1"/>
  <c r="AK116" i="5" a="1"/>
  <c r="AL116" i="5" a="1"/>
  <c r="AM116" i="5" a="1"/>
  <c r="AN116" i="5" a="1"/>
  <c r="AO116" i="5" a="1"/>
  <c r="AP116" i="5" a="1"/>
  <c r="AQ116" i="5" a="1"/>
  <c r="AI117" i="5" a="1"/>
  <c r="AJ117" i="5" a="1"/>
  <c r="AK117" i="5" a="1"/>
  <c r="AL117" i="5" a="1"/>
  <c r="AM117" i="5" a="1"/>
  <c r="AN117" i="5" a="1"/>
  <c r="AO117" i="5" a="1"/>
  <c r="AP117" i="5" a="1"/>
  <c r="AQ117" i="5" a="1"/>
  <c r="AI118" i="5" a="1"/>
  <c r="AJ118" i="5" a="1"/>
  <c r="AK118" i="5" a="1"/>
  <c r="AL118" i="5" a="1"/>
  <c r="AM118" i="5" a="1"/>
  <c r="AN118" i="5" a="1"/>
  <c r="AO118" i="5" a="1"/>
  <c r="AP118" i="5" a="1"/>
  <c r="AQ118" i="5" a="1"/>
  <c r="AI119" i="5" a="1"/>
  <c r="AJ119" i="5" a="1"/>
  <c r="AK119" i="5" a="1"/>
  <c r="AL119" i="5" a="1"/>
  <c r="AM119" i="5" a="1"/>
  <c r="AN119" i="5" a="1"/>
  <c r="AO119" i="5" a="1"/>
  <c r="AP119" i="5" a="1"/>
  <c r="AQ119" i="5" a="1"/>
  <c r="AI120" i="5" a="1"/>
  <c r="AJ120" i="5" a="1"/>
  <c r="AK120" i="5" a="1"/>
  <c r="AL120" i="5" a="1"/>
  <c r="AM120" i="5" a="1"/>
  <c r="AN120" i="5" a="1"/>
  <c r="AO120" i="5" a="1"/>
  <c r="AP120" i="5" a="1"/>
  <c r="AQ120" i="5" a="1"/>
  <c r="AI121" i="5" a="1"/>
  <c r="AJ121" i="5" a="1"/>
  <c r="AK121" i="5" a="1"/>
  <c r="AL121" i="5" a="1"/>
  <c r="AM121" i="5" a="1"/>
  <c r="AN121" i="5" a="1"/>
  <c r="AO121" i="5" a="1"/>
  <c r="AP121" i="5" a="1"/>
  <c r="AQ121" i="5" a="1"/>
  <c r="AI122" i="5" a="1"/>
  <c r="AJ122" i="5" a="1"/>
  <c r="AK122" i="5" a="1"/>
  <c r="AL122" i="5" a="1"/>
  <c r="AM122" i="5" a="1"/>
  <c r="AN122" i="5" a="1"/>
  <c r="AO122" i="5" a="1"/>
  <c r="AP122" i="5" a="1"/>
  <c r="AQ122" i="5" a="1"/>
  <c r="AI123" i="5" a="1"/>
  <c r="AJ123" i="5" a="1"/>
  <c r="AK123" i="5" a="1"/>
  <c r="AL123" i="5" a="1"/>
  <c r="AM123" i="5" a="1"/>
  <c r="AN123" i="5" a="1"/>
  <c r="AO123" i="5" a="1"/>
  <c r="AP123" i="5" a="1"/>
  <c r="AQ123" i="5" a="1"/>
  <c r="AI124" i="5" a="1"/>
  <c r="AJ124" i="5" a="1"/>
  <c r="AK124" i="5" a="1"/>
  <c r="AL124" i="5" a="1"/>
  <c r="AM124" i="5" a="1"/>
  <c r="AN124" i="5" a="1"/>
  <c r="AO124" i="5" a="1"/>
  <c r="AP124" i="5" a="1"/>
  <c r="AQ124" i="5" a="1"/>
  <c r="AI125" i="5" a="1"/>
  <c r="AJ125" i="5" a="1"/>
  <c r="AK125" i="5" a="1"/>
  <c r="AL125" i="5" a="1"/>
  <c r="AM125" i="5" a="1"/>
  <c r="AN125" i="5" a="1"/>
  <c r="AO125" i="5" a="1"/>
  <c r="AP125" i="5" a="1"/>
  <c r="AQ125" i="5" a="1"/>
  <c r="AI126" i="5" a="1"/>
  <c r="AJ126" i="5" a="1"/>
  <c r="AK126" i="5" a="1"/>
  <c r="AL126" i="5" a="1"/>
  <c r="AM126" i="5" a="1"/>
  <c r="AN126" i="5" a="1"/>
  <c r="AO126" i="5" a="1"/>
  <c r="AP126" i="5" a="1"/>
  <c r="AQ126" i="5" a="1"/>
  <c r="AI127" i="5" a="1"/>
  <c r="AJ127" i="5" a="1"/>
  <c r="AK127" i="5" a="1"/>
  <c r="AL127" i="5" a="1"/>
  <c r="AM127" i="5" a="1"/>
  <c r="AN127" i="5" a="1"/>
  <c r="AO127" i="5" a="1"/>
  <c r="AP127" i="5" a="1"/>
  <c r="AQ127" i="5" a="1"/>
  <c r="AI128" i="5" a="1"/>
  <c r="AJ128" i="5" a="1"/>
  <c r="AK128" i="5" a="1"/>
  <c r="AL128" i="5" a="1"/>
  <c r="AM128" i="5" a="1"/>
  <c r="AN128" i="5" a="1"/>
  <c r="AO128" i="5" a="1"/>
  <c r="AP128" i="5" a="1"/>
  <c r="AQ128" i="5" a="1"/>
  <c r="AI129" i="5" a="1"/>
  <c r="AJ129" i="5" a="1"/>
  <c r="AK129" i="5" a="1"/>
  <c r="AL129" i="5" a="1"/>
  <c r="AM129" i="5" a="1"/>
  <c r="AN129" i="5" a="1"/>
  <c r="AO129" i="5" a="1"/>
  <c r="AP129" i="5" a="1"/>
  <c r="AQ129" i="5" a="1"/>
  <c r="AI130" i="5" a="1"/>
  <c r="AJ130" i="5" a="1"/>
  <c r="AK130" i="5" a="1"/>
  <c r="AL130" i="5" a="1"/>
  <c r="AM130" i="5" a="1"/>
  <c r="AN130" i="5" a="1"/>
  <c r="AO130" i="5" a="1"/>
  <c r="AP130" i="5" a="1"/>
  <c r="AQ130" i="5" a="1"/>
  <c r="AI131" i="5" a="1"/>
  <c r="AJ131" i="5" a="1"/>
  <c r="AK131" i="5" a="1"/>
  <c r="AL131" i="5" a="1"/>
  <c r="AM131" i="5" a="1"/>
  <c r="AN131" i="5" a="1"/>
  <c r="AO131" i="5" a="1"/>
  <c r="AP131" i="5" a="1"/>
  <c r="AQ131" i="5" a="1"/>
  <c r="AI132" i="5" a="1"/>
  <c r="AJ132" i="5" a="1"/>
  <c r="AK132" i="5" a="1"/>
  <c r="AL132" i="5" a="1"/>
  <c r="AM132" i="5" a="1"/>
  <c r="AN132" i="5" a="1"/>
  <c r="AO132" i="5" a="1"/>
  <c r="AP132" i="5" a="1"/>
  <c r="AQ132" i="5" a="1"/>
  <c r="AI133" i="5" a="1"/>
  <c r="AJ133" i="5" a="1"/>
  <c r="AK133" i="5" a="1"/>
  <c r="AL133" i="5" a="1"/>
  <c r="AM133" i="5" a="1"/>
  <c r="AN133" i="5" a="1"/>
  <c r="AO133" i="5" a="1"/>
  <c r="AP133" i="5" a="1"/>
  <c r="AQ133" i="5" a="1"/>
  <c r="AI134" i="5" a="1"/>
  <c r="AJ134" i="5" a="1"/>
  <c r="AK134" i="5" a="1"/>
  <c r="AL134" i="5" a="1"/>
  <c r="AM134" i="5" a="1"/>
  <c r="AN134" i="5" a="1"/>
  <c r="AO134" i="5" a="1"/>
  <c r="AP134" i="5" a="1"/>
  <c r="AQ134" i="5" a="1"/>
  <c r="AI135" i="5" a="1"/>
  <c r="AJ135" i="5" a="1"/>
  <c r="AK135" i="5" a="1"/>
  <c r="AL135" i="5" a="1"/>
  <c r="AM135" i="5" a="1"/>
  <c r="AN135" i="5" a="1"/>
  <c r="AO135" i="5" a="1"/>
  <c r="AP135" i="5" a="1"/>
  <c r="AQ135" i="5" a="1"/>
  <c r="AI136" i="5" a="1"/>
  <c r="AJ136" i="5" a="1"/>
  <c r="AK136" i="5" a="1"/>
  <c r="AL136" i="5" a="1"/>
  <c r="AM136" i="5" a="1"/>
  <c r="AN136" i="5" a="1"/>
  <c r="AO136" i="5" a="1"/>
  <c r="AP136" i="5" a="1"/>
  <c r="AQ136" i="5" a="1"/>
  <c r="AI137" i="5" a="1"/>
  <c r="AJ137" i="5" a="1"/>
  <c r="AK137" i="5" a="1"/>
  <c r="AL137" i="5" a="1"/>
  <c r="AM137" i="5" a="1"/>
  <c r="AN137" i="5" a="1"/>
  <c r="AO137" i="5" a="1"/>
  <c r="AP137" i="5" a="1"/>
  <c r="AQ137" i="5" a="1"/>
  <c r="AI138" i="5" a="1"/>
  <c r="AJ138" i="5" a="1"/>
  <c r="AK138" i="5" a="1"/>
  <c r="AL138" i="5" a="1"/>
  <c r="AM138" i="5" a="1"/>
  <c r="AN138" i="5" a="1"/>
  <c r="AO138" i="5" a="1"/>
  <c r="AP138" i="5" a="1"/>
  <c r="AQ138" i="5" a="1"/>
  <c r="AI139" i="5" a="1"/>
  <c r="AJ139" i="5" a="1"/>
  <c r="AK139" i="5" a="1"/>
  <c r="AL139" i="5" a="1"/>
  <c r="AM139" i="5" a="1"/>
  <c r="AN139" i="5" a="1"/>
  <c r="AO139" i="5" a="1"/>
  <c r="AP139" i="5" a="1"/>
  <c r="AQ139" i="5" a="1"/>
  <c r="AI140" i="5" a="1"/>
  <c r="AJ140" i="5" a="1"/>
  <c r="AK140" i="5" a="1"/>
  <c r="AL140" i="5" a="1"/>
  <c r="AM140" i="5" a="1"/>
  <c r="AN140" i="5" a="1"/>
  <c r="AO140" i="5" a="1"/>
  <c r="AP140" i="5" a="1"/>
  <c r="AQ140" i="5" a="1"/>
  <c r="AI141" i="5" a="1"/>
  <c r="AJ141" i="5" a="1"/>
  <c r="AK141" i="5" a="1"/>
  <c r="AL141" i="5" a="1"/>
  <c r="AM141" i="5" a="1"/>
  <c r="AN141" i="5" a="1"/>
  <c r="AO141" i="5" a="1"/>
  <c r="AP141" i="5" a="1"/>
  <c r="AQ141" i="5" a="1"/>
  <c r="AI142" i="5" a="1"/>
  <c r="AJ142" i="5" a="1"/>
  <c r="AK142" i="5" a="1"/>
  <c r="AL142" i="5" a="1"/>
  <c r="AM142" i="5" a="1"/>
  <c r="AN142" i="5" a="1"/>
  <c r="AO142" i="5" a="1"/>
  <c r="AP142" i="5" a="1"/>
  <c r="AQ142" i="5" a="1"/>
  <c r="AI143" i="5" a="1"/>
  <c r="AJ143" i="5" a="1"/>
  <c r="AK143" i="5" a="1"/>
  <c r="AL143" i="5" a="1"/>
  <c r="AM143" i="5" a="1"/>
  <c r="AN143" i="5" a="1"/>
  <c r="AO143" i="5" a="1"/>
  <c r="AP143" i="5" a="1"/>
  <c r="AQ143" i="5" a="1"/>
  <c r="AI144" i="5" a="1"/>
  <c r="AJ144" i="5" a="1"/>
  <c r="AK144" i="5" a="1"/>
  <c r="AL144" i="5" a="1"/>
  <c r="AM144" i="5" a="1"/>
  <c r="AN144" i="5" a="1"/>
  <c r="AO144" i="5" a="1"/>
  <c r="AP144" i="5" a="1"/>
  <c r="AQ144" i="5" a="1"/>
  <c r="AI145" i="5" a="1"/>
  <c r="AJ145" i="5" a="1"/>
  <c r="AK145" i="5" a="1"/>
  <c r="AL145" i="5" a="1"/>
  <c r="AM145" i="5" a="1"/>
  <c r="AN145" i="5" a="1"/>
  <c r="AO145" i="5" a="1"/>
  <c r="AP145" i="5" a="1"/>
  <c r="AQ145" i="5" a="1"/>
  <c r="AI146" i="5" a="1"/>
  <c r="AJ146" i="5" a="1"/>
  <c r="AK146" i="5" a="1"/>
  <c r="AL146" i="5" a="1"/>
  <c r="AM146" i="5" a="1"/>
  <c r="AN146" i="5" a="1"/>
  <c r="AO146" i="5" a="1"/>
  <c r="AP146" i="5" a="1"/>
  <c r="AQ146" i="5" a="1"/>
  <c r="AI147" i="5" a="1"/>
  <c r="AJ147" i="5" a="1"/>
  <c r="AK147" i="5" a="1"/>
  <c r="AL147" i="5" a="1"/>
  <c r="AM147" i="5" a="1"/>
  <c r="AN147" i="5" a="1"/>
  <c r="AO147" i="5" a="1"/>
  <c r="AP147" i="5" a="1"/>
  <c r="AQ147" i="5" a="1"/>
  <c r="AI148" i="5" a="1"/>
  <c r="AJ148" i="5" a="1"/>
  <c r="AK148" i="5" a="1"/>
  <c r="AL148" i="5" a="1"/>
  <c r="AM148" i="5" a="1"/>
  <c r="AN148" i="5" a="1"/>
  <c r="AO148" i="5" a="1"/>
  <c r="AP148" i="5" a="1"/>
  <c r="AQ148" i="5" a="1"/>
  <c r="AI149" i="5" a="1"/>
  <c r="AJ149" i="5" a="1"/>
  <c r="AK149" i="5" a="1"/>
  <c r="AL149" i="5" a="1"/>
  <c r="AM149" i="5" a="1"/>
  <c r="AN149" i="5" a="1"/>
  <c r="AO149" i="5" a="1"/>
  <c r="AP149" i="5" a="1"/>
  <c r="AQ149" i="5" a="1"/>
  <c r="AI150" i="5" a="1"/>
  <c r="AJ150" i="5" a="1"/>
  <c r="AK150" i="5" a="1"/>
  <c r="AL150" i="5" a="1"/>
  <c r="AM150" i="5" a="1"/>
  <c r="AN150" i="5" a="1"/>
  <c r="AO150" i="5" a="1"/>
  <c r="AP150" i="5" a="1"/>
  <c r="AQ150" i="5" a="1"/>
  <c r="AI151" i="5" a="1"/>
  <c r="AJ151" i="5" a="1"/>
  <c r="AK151" i="5" a="1"/>
  <c r="AL151" i="5" a="1"/>
  <c r="AM151" i="5" a="1"/>
  <c r="AN151" i="5" a="1"/>
  <c r="AO151" i="5" a="1"/>
  <c r="AP151" i="5" a="1"/>
  <c r="AQ151" i="5" a="1"/>
  <c r="AI152" i="5" a="1"/>
  <c r="AJ152" i="5" a="1"/>
  <c r="AK152" i="5" a="1"/>
  <c r="AL152" i="5" a="1"/>
  <c r="AM152" i="5" a="1"/>
  <c r="AN152" i="5" a="1"/>
  <c r="AO152" i="5" a="1"/>
  <c r="AP152" i="5" a="1"/>
  <c r="AQ152" i="5" a="1"/>
  <c r="AI153" i="5" a="1"/>
  <c r="AJ153" i="5" a="1"/>
  <c r="AK153" i="5" a="1"/>
  <c r="AL153" i="5" a="1"/>
  <c r="AM153" i="5" a="1"/>
  <c r="AN153" i="5" a="1"/>
  <c r="AO153" i="5" a="1"/>
  <c r="AP153" i="5" a="1"/>
  <c r="AQ153" i="5" a="1"/>
  <c r="AI154" i="5" a="1"/>
  <c r="AJ154" i="5" a="1"/>
  <c r="AK154" i="5" a="1"/>
  <c r="AL154" i="5" a="1"/>
  <c r="AM154" i="5" a="1"/>
  <c r="AN154" i="5" a="1"/>
  <c r="AO154" i="5" a="1"/>
  <c r="AP154" i="5" a="1"/>
  <c r="AQ154" i="5" a="1"/>
  <c r="AI155" i="5" a="1"/>
  <c r="AJ155" i="5" a="1"/>
  <c r="AK155" i="5" a="1"/>
  <c r="AL155" i="5" a="1"/>
  <c r="AM155" i="5" a="1"/>
  <c r="AN155" i="5" a="1"/>
  <c r="AO155" i="5" a="1"/>
  <c r="AP155" i="5" a="1"/>
  <c r="AQ155" i="5" a="1"/>
  <c r="AI156" i="5" a="1"/>
  <c r="AJ156" i="5" a="1"/>
  <c r="AK156" i="5" a="1"/>
  <c r="AL156" i="5" a="1"/>
  <c r="AM156" i="5" a="1"/>
  <c r="AN156" i="5" a="1"/>
  <c r="AO156" i="5" a="1"/>
  <c r="AP156" i="5" a="1"/>
  <c r="AQ156" i="5" a="1"/>
  <c r="AI157" i="5" a="1"/>
  <c r="AJ157" i="5" a="1"/>
  <c r="AK157" i="5" a="1"/>
  <c r="AL157" i="5" a="1"/>
  <c r="AM157" i="5" a="1"/>
  <c r="AN157" i="5" a="1"/>
  <c r="AO157" i="5" a="1"/>
  <c r="AP157" i="5" a="1"/>
  <c r="AQ157" i="5" a="1"/>
  <c r="AI158" i="5" a="1"/>
  <c r="AJ158" i="5" a="1"/>
  <c r="AK158" i="5" a="1"/>
  <c r="AL158" i="5" a="1"/>
  <c r="AM158" i="5" a="1"/>
  <c r="AN158" i="5" a="1"/>
  <c r="AO158" i="5" a="1"/>
  <c r="AP158" i="5" a="1"/>
  <c r="AQ158" i="5" a="1"/>
  <c r="AI159" i="5" a="1"/>
  <c r="AJ159" i="5" a="1"/>
  <c r="AK159" i="5" a="1"/>
  <c r="AL159" i="5" a="1"/>
  <c r="AM159" i="5" a="1"/>
  <c r="AN159" i="5" a="1"/>
  <c r="AO159" i="5" a="1"/>
  <c r="AP159" i="5" a="1"/>
  <c r="AQ159" i="5" a="1"/>
  <c r="AI160" i="5" a="1"/>
  <c r="AJ160" i="5" a="1"/>
  <c r="AK160" i="5" a="1"/>
  <c r="AL160" i="5" a="1"/>
  <c r="AM160" i="5" a="1"/>
  <c r="AN160" i="5" a="1"/>
  <c r="AO160" i="5" a="1"/>
  <c r="AP160" i="5" a="1"/>
  <c r="AQ160" i="5" a="1"/>
  <c r="AI161" i="5" a="1"/>
  <c r="AJ161" i="5" a="1"/>
  <c r="AK161" i="5" a="1"/>
  <c r="AL161" i="5" a="1"/>
  <c r="AM161" i="5" a="1"/>
  <c r="AN161" i="5" a="1"/>
  <c r="AO161" i="5" a="1"/>
  <c r="AP161" i="5" a="1"/>
  <c r="AQ161" i="5" a="1"/>
  <c r="AI162" i="5" a="1"/>
  <c r="AJ162" i="5" a="1"/>
  <c r="AK162" i="5" a="1"/>
  <c r="AL162" i="5" a="1"/>
  <c r="AM162" i="5" a="1"/>
  <c r="AN162" i="5" a="1"/>
  <c r="AO162" i="5" a="1"/>
  <c r="AP162" i="5" a="1"/>
  <c r="AQ162" i="5" a="1"/>
  <c r="AI163" i="5" a="1"/>
  <c r="AJ163" i="5" a="1"/>
  <c r="AK163" i="5" a="1"/>
  <c r="AL163" i="5" a="1"/>
  <c r="AM163" i="5" a="1"/>
  <c r="AN163" i="5" a="1"/>
  <c r="AO163" i="5" a="1"/>
  <c r="AP163" i="5" a="1"/>
  <c r="AQ163" i="5" a="1"/>
  <c r="AI164" i="5" a="1"/>
  <c r="AJ164" i="5" a="1"/>
  <c r="AK164" i="5" a="1"/>
  <c r="AL164" i="5" a="1"/>
  <c r="AM164" i="5" a="1"/>
  <c r="AN164" i="5" a="1"/>
  <c r="AO164" i="5" a="1"/>
  <c r="AP164" i="5" a="1"/>
  <c r="AQ164" i="5" a="1"/>
  <c r="AI165" i="5" a="1"/>
  <c r="AJ165" i="5" a="1"/>
  <c r="AK165" i="5" a="1"/>
  <c r="AL165" i="5" a="1"/>
  <c r="AM165" i="5" a="1"/>
  <c r="AN165" i="5" a="1"/>
  <c r="AO165" i="5" a="1"/>
  <c r="AP165" i="5" a="1"/>
  <c r="AQ165" i="5" a="1"/>
  <c r="AI166" i="5" a="1"/>
  <c r="AJ166" i="5" a="1"/>
  <c r="AK166" i="5" a="1"/>
  <c r="AL166" i="5" a="1"/>
  <c r="AM166" i="5" a="1"/>
  <c r="AN166" i="5" a="1"/>
  <c r="AO166" i="5" a="1"/>
  <c r="AP166" i="5" a="1"/>
  <c r="AQ166" i="5" a="1"/>
  <c r="AI167" i="5" a="1"/>
  <c r="AJ167" i="5" a="1"/>
  <c r="AK167" i="5" a="1"/>
  <c r="AL167" i="5" a="1"/>
  <c r="AM167" i="5" a="1"/>
  <c r="AN167" i="5" a="1"/>
  <c r="AO167" i="5" a="1"/>
  <c r="AP167" i="5" a="1"/>
  <c r="AQ167" i="5" a="1"/>
  <c r="AI168" i="5" a="1"/>
  <c r="AJ168" i="5" a="1"/>
  <c r="AK168" i="5" a="1"/>
  <c r="AL168" i="5" a="1"/>
  <c r="AM168" i="5" a="1"/>
  <c r="AN168" i="5" a="1"/>
  <c r="AO168" i="5" a="1"/>
  <c r="AP168" i="5" a="1"/>
  <c r="AQ168" i="5" a="1"/>
  <c r="AI169" i="5" a="1"/>
  <c r="AJ169" i="5" a="1"/>
  <c r="AK169" i="5" a="1"/>
  <c r="AL169" i="5" a="1"/>
  <c r="AM169" i="5" a="1"/>
  <c r="AN169" i="5" a="1"/>
  <c r="AO169" i="5" a="1"/>
  <c r="AP169" i="5" a="1"/>
  <c r="AQ169" i="5" a="1"/>
  <c r="AI170" i="5" a="1"/>
  <c r="AJ170" i="5" a="1"/>
  <c r="AK170" i="5" a="1"/>
  <c r="AL170" i="5" a="1"/>
  <c r="AM170" i="5" a="1"/>
  <c r="AN170" i="5" a="1"/>
  <c r="AO170" i="5" a="1"/>
  <c r="AP170" i="5" a="1"/>
  <c r="AQ170" i="5" a="1"/>
  <c r="AI171" i="5" a="1"/>
  <c r="AJ171" i="5" a="1"/>
  <c r="AK171" i="5" a="1"/>
  <c r="AL171" i="5" a="1"/>
  <c r="AM171" i="5" a="1"/>
  <c r="AN171" i="5" a="1"/>
  <c r="AO171" i="5" a="1"/>
  <c r="AP171" i="5" a="1"/>
  <c r="AQ171" i="5" a="1"/>
  <c r="AI172" i="5" a="1"/>
  <c r="AJ172" i="5" a="1"/>
  <c r="AK172" i="5" a="1"/>
  <c r="AL172" i="5" a="1"/>
  <c r="AM172" i="5" a="1"/>
  <c r="AN172" i="5" a="1"/>
  <c r="AO172" i="5" a="1"/>
  <c r="AP172" i="5" a="1"/>
  <c r="AQ172" i="5" a="1"/>
  <c r="AI173" i="5" a="1"/>
  <c r="AJ173" i="5" a="1"/>
  <c r="AK173" i="5" a="1"/>
  <c r="AL173" i="5" a="1"/>
  <c r="AM173" i="5" a="1"/>
  <c r="AN173" i="5" a="1"/>
  <c r="AO173" i="5" a="1"/>
  <c r="AP173" i="5" a="1"/>
  <c r="AQ173" i="5" a="1"/>
  <c r="AI174" i="5" a="1"/>
  <c r="AJ174" i="5" a="1"/>
  <c r="AK174" i="5" a="1"/>
  <c r="AL174" i="5" a="1"/>
  <c r="AM174" i="5" a="1"/>
  <c r="AN174" i="5" a="1"/>
  <c r="AO174" i="5" a="1"/>
  <c r="AP174" i="5" a="1"/>
  <c r="AQ174" i="5" a="1"/>
  <c r="AI175" i="5" a="1"/>
  <c r="AJ175" i="5" a="1"/>
  <c r="AK175" i="5" a="1"/>
  <c r="AL175" i="5" a="1"/>
  <c r="AM175" i="5" a="1"/>
  <c r="AN175" i="5" a="1"/>
  <c r="AO175" i="5" a="1"/>
  <c r="AP175" i="5" a="1"/>
  <c r="AQ175" i="5" a="1"/>
  <c r="AI176" i="5" a="1"/>
  <c r="AJ176" i="5" a="1"/>
  <c r="AK176" i="5" a="1"/>
  <c r="AL176" i="5" a="1"/>
  <c r="AM176" i="5" a="1"/>
  <c r="AN176" i="5" a="1"/>
  <c r="AO176" i="5" a="1"/>
  <c r="AP176" i="5" a="1"/>
  <c r="AQ176" i="5" a="1"/>
  <c r="AI177" i="5" a="1"/>
  <c r="AJ177" i="5" a="1"/>
  <c r="AK177" i="5" a="1"/>
  <c r="AL177" i="5" a="1"/>
  <c r="AM177" i="5" a="1"/>
  <c r="AN177" i="5" a="1"/>
  <c r="AO177" i="5" a="1"/>
  <c r="AP177" i="5" a="1"/>
  <c r="AQ177" i="5" a="1"/>
  <c r="AI178" i="5" a="1"/>
  <c r="AJ178" i="5" a="1"/>
  <c r="AK178" i="5" a="1"/>
  <c r="AL178" i="5" a="1"/>
  <c r="AM178" i="5" a="1"/>
  <c r="AN178" i="5" a="1"/>
  <c r="AO178" i="5" a="1"/>
  <c r="AP178" i="5" a="1"/>
  <c r="AQ178" i="5" a="1"/>
  <c r="AI179" i="5" a="1"/>
  <c r="AJ179" i="5" a="1"/>
  <c r="AK179" i="5" a="1"/>
  <c r="AL179" i="5" a="1"/>
  <c r="AM179" i="5" a="1"/>
  <c r="AN179" i="5" a="1"/>
  <c r="AO179" i="5" a="1"/>
  <c r="AP179" i="5" a="1"/>
  <c r="AQ179" i="5" a="1"/>
  <c r="AI180" i="5" a="1"/>
  <c r="AJ180" i="5" a="1"/>
  <c r="AK180" i="5" a="1"/>
  <c r="AL180" i="5" a="1"/>
  <c r="AM180" i="5" a="1"/>
  <c r="AN180" i="5" a="1"/>
  <c r="AO180" i="5" a="1"/>
  <c r="AP180" i="5" a="1"/>
  <c r="AQ180" i="5" a="1"/>
  <c r="AI181" i="5" a="1"/>
  <c r="AJ181" i="5" a="1"/>
  <c r="AK181" i="5" a="1"/>
  <c r="AL181" i="5" a="1"/>
  <c r="AM181" i="5" a="1"/>
  <c r="AN181" i="5" a="1"/>
  <c r="AO181" i="5" a="1"/>
  <c r="AP181" i="5" a="1"/>
  <c r="AQ181" i="5" a="1"/>
  <c r="AI182" i="5" a="1"/>
  <c r="AJ182" i="5" a="1"/>
  <c r="AK182" i="5" a="1"/>
  <c r="AL182" i="5" a="1"/>
  <c r="AM182" i="5" a="1"/>
  <c r="AN182" i="5" a="1"/>
  <c r="AO182" i="5" a="1"/>
  <c r="AP182" i="5" a="1"/>
  <c r="AQ182" i="5" a="1"/>
  <c r="AI183" i="5" a="1"/>
  <c r="AJ183" i="5" a="1"/>
  <c r="AK183" i="5" a="1"/>
  <c r="AL183" i="5" a="1"/>
  <c r="AM183" i="5" a="1"/>
  <c r="AN183" i="5" a="1"/>
  <c r="AO183" i="5" a="1"/>
  <c r="AP183" i="5" a="1"/>
  <c r="AQ183" i="5" a="1"/>
  <c r="AI184" i="5" a="1"/>
  <c r="AJ184" i="5" a="1"/>
  <c r="AK184" i="5" a="1"/>
  <c r="AL184" i="5" a="1"/>
  <c r="AM184" i="5" a="1"/>
  <c r="AN184" i="5" a="1"/>
  <c r="AO184" i="5" a="1"/>
  <c r="AP184" i="5" a="1"/>
  <c r="AQ184" i="5" a="1"/>
  <c r="AI185" i="5" a="1"/>
  <c r="AJ185" i="5" a="1"/>
  <c r="AK185" i="5" a="1"/>
  <c r="AL185" i="5" a="1"/>
  <c r="AM185" i="5" a="1"/>
  <c r="AN185" i="5" a="1"/>
  <c r="AO185" i="5" a="1"/>
  <c r="AP185" i="5" a="1"/>
  <c r="AQ185" i="5" a="1"/>
  <c r="AI186" i="5" a="1"/>
  <c r="AJ186" i="5" a="1"/>
  <c r="AK186" i="5" a="1"/>
  <c r="AL186" i="5" a="1"/>
  <c r="AM186" i="5" a="1"/>
  <c r="AN186" i="5" a="1"/>
  <c r="AO186" i="5" a="1"/>
  <c r="AP186" i="5" a="1"/>
  <c r="AQ186" i="5" a="1"/>
  <c r="AI187" i="5" a="1"/>
  <c r="AJ187" i="5" a="1"/>
  <c r="AK187" i="5" a="1"/>
  <c r="AL187" i="5" a="1"/>
  <c r="AM187" i="5" a="1"/>
  <c r="AN187" i="5" a="1"/>
  <c r="AO187" i="5" a="1"/>
  <c r="AP187" i="5" a="1"/>
  <c r="AQ187" i="5" a="1"/>
  <c r="AI188" i="5" a="1"/>
  <c r="AJ188" i="5" a="1"/>
  <c r="AK188" i="5" a="1"/>
  <c r="AL188" i="5" a="1"/>
  <c r="AM188" i="5" a="1"/>
  <c r="AN188" i="5" a="1"/>
  <c r="AO188" i="5" a="1"/>
  <c r="AP188" i="5" a="1"/>
  <c r="AQ188" i="5" a="1"/>
  <c r="AI189" i="5" a="1"/>
  <c r="AU189" i="5" s="1"/>
  <c r="AJ189" i="5" a="1"/>
  <c r="AK189" i="5" a="1"/>
  <c r="AL189" i="5" a="1"/>
  <c r="AM189" i="5" a="1"/>
  <c r="AN189" i="5" a="1"/>
  <c r="AO189" i="5" a="1"/>
  <c r="AP189" i="5" a="1"/>
  <c r="AQ189" i="5" a="1"/>
  <c r="AI190" i="5" a="1"/>
  <c r="AU190" i="5" s="1"/>
  <c r="AJ190" i="5" a="1"/>
  <c r="AK190" i="5" a="1"/>
  <c r="AL190" i="5" a="1"/>
  <c r="AM190" i="5" a="1"/>
  <c r="AN190" i="5" a="1"/>
  <c r="AO190" i="5" a="1"/>
  <c r="AP190" i="5" a="1"/>
  <c r="AQ190" i="5" a="1"/>
  <c r="AI191" i="5" a="1"/>
  <c r="AU191" i="5" s="1"/>
  <c r="AJ191" i="5" a="1"/>
  <c r="AK191" i="5" a="1"/>
  <c r="AL191" i="5" a="1"/>
  <c r="AM191" i="5" a="1"/>
  <c r="AN191" i="5" a="1"/>
  <c r="AO191" i="5" a="1"/>
  <c r="AP191" i="5" a="1"/>
  <c r="AQ191" i="5" a="1"/>
  <c r="AI192" i="5" a="1"/>
  <c r="AJ192" i="5" a="1"/>
  <c r="AK192" i="5" a="1"/>
  <c r="AL192" i="5" a="1"/>
  <c r="AM192" i="5" a="1"/>
  <c r="AN192" i="5" a="1"/>
  <c r="AO192" i="5" a="1"/>
  <c r="AP192" i="5" a="1"/>
  <c r="AQ192" i="5" a="1"/>
  <c r="AI193" i="5" a="1"/>
  <c r="AJ193" i="5" a="1"/>
  <c r="AK193" i="5" a="1"/>
  <c r="AL193" i="5" a="1"/>
  <c r="AM193" i="5" a="1"/>
  <c r="AN193" i="5" a="1"/>
  <c r="AO193" i="5" a="1"/>
  <c r="AP193" i="5" a="1"/>
  <c r="AQ193" i="5" a="1"/>
  <c r="AI194" i="5" a="1"/>
  <c r="AJ194" i="5" a="1"/>
  <c r="AK194" i="5" a="1"/>
  <c r="AL194" i="5" a="1"/>
  <c r="AM194" i="5" a="1"/>
  <c r="AN194" i="5" a="1"/>
  <c r="AO194" i="5" a="1"/>
  <c r="AP194" i="5" a="1"/>
  <c r="AQ194" i="5" a="1"/>
  <c r="AI195" i="5" a="1"/>
  <c r="AJ195" i="5" a="1"/>
  <c r="AK195" i="5" a="1"/>
  <c r="AL195" i="5" a="1"/>
  <c r="AM195" i="5" a="1"/>
  <c r="AN195" i="5" a="1"/>
  <c r="AO195" i="5" a="1"/>
  <c r="AP195" i="5" a="1"/>
  <c r="AQ195" i="5" a="1"/>
  <c r="AI196" i="5" a="1"/>
  <c r="AJ196" i="5" a="1"/>
  <c r="AK196" i="5" a="1"/>
  <c r="AL196" i="5" a="1"/>
  <c r="AM196" i="5" a="1"/>
  <c r="AN196" i="5" a="1"/>
  <c r="AO196" i="5" a="1"/>
  <c r="AP196" i="5" a="1"/>
  <c r="AQ196" i="5" a="1"/>
  <c r="AI197" i="5" a="1"/>
  <c r="AJ197" i="5" a="1"/>
  <c r="AK197" i="5" a="1"/>
  <c r="AL197" i="5" a="1"/>
  <c r="AM197" i="5" a="1"/>
  <c r="AN197" i="5" a="1"/>
  <c r="AO197" i="5" a="1"/>
  <c r="AP197" i="5" a="1"/>
  <c r="AQ197" i="5" a="1"/>
  <c r="AI198" i="5" a="1"/>
  <c r="AJ198" i="5" a="1"/>
  <c r="AK198" i="5" a="1"/>
  <c r="AL198" i="5" a="1"/>
  <c r="AM198" i="5" a="1"/>
  <c r="AN198" i="5" a="1"/>
  <c r="AO198" i="5" a="1"/>
  <c r="AP198" i="5" a="1"/>
  <c r="AQ198" i="5" a="1"/>
  <c r="AI199" i="5" a="1"/>
  <c r="AJ199" i="5" a="1"/>
  <c r="AK199" i="5" a="1"/>
  <c r="AL199" i="5" a="1"/>
  <c r="AM199" i="5" a="1"/>
  <c r="AN199" i="5" a="1"/>
  <c r="AO199" i="5" a="1"/>
  <c r="AP199" i="5" a="1"/>
  <c r="AQ199" i="5" a="1"/>
  <c r="AI200" i="5" a="1"/>
  <c r="AJ200" i="5" a="1"/>
  <c r="AK200" i="5" a="1"/>
  <c r="AL200" i="5" a="1"/>
  <c r="AM200" i="5" a="1"/>
  <c r="AN200" i="5" a="1"/>
  <c r="AO200" i="5" a="1"/>
  <c r="AP200" i="5" a="1"/>
  <c r="AQ200" i="5" a="1"/>
  <c r="AI201" i="5" a="1"/>
  <c r="AJ201" i="5" a="1"/>
  <c r="AK201" i="5" a="1"/>
  <c r="AL201" i="5" a="1"/>
  <c r="AM201" i="5" a="1"/>
  <c r="AN201" i="5" a="1"/>
  <c r="AO201" i="5" a="1"/>
  <c r="AP201" i="5" a="1"/>
  <c r="AQ201" i="5" a="1"/>
  <c r="AI202" i="5" a="1"/>
  <c r="AJ202" i="5" a="1"/>
  <c r="AK202" i="5" a="1"/>
  <c r="AL202" i="5" a="1"/>
  <c r="AM202" i="5" a="1"/>
  <c r="AN202" i="5" a="1"/>
  <c r="AO202" i="5" a="1"/>
  <c r="AP202" i="5" a="1"/>
  <c r="AQ202" i="5" a="1"/>
  <c r="AI203" i="5" a="1"/>
  <c r="AJ203" i="5" a="1"/>
  <c r="AK203" i="5" a="1"/>
  <c r="AL203" i="5" a="1"/>
  <c r="AM203" i="5" a="1"/>
  <c r="AN203" i="5" a="1"/>
  <c r="AO203" i="5" a="1"/>
  <c r="AP203" i="5" a="1"/>
  <c r="AQ203" i="5" a="1"/>
  <c r="AI204" i="5" a="1"/>
  <c r="AJ204" i="5" a="1"/>
  <c r="AK204" i="5" a="1"/>
  <c r="AL204" i="5" a="1"/>
  <c r="AM204" i="5" a="1"/>
  <c r="AN204" i="5" a="1"/>
  <c r="AO204" i="5" a="1"/>
  <c r="AP204" i="5" a="1"/>
  <c r="AQ204" i="5" a="1"/>
  <c r="AI205" i="5" a="1"/>
  <c r="AJ205" i="5" a="1"/>
  <c r="AK205" i="5" a="1"/>
  <c r="AL205" i="5" a="1"/>
  <c r="AM205" i="5" a="1"/>
  <c r="AN205" i="5" a="1"/>
  <c r="AO205" i="5" a="1"/>
  <c r="AP205" i="5" a="1"/>
  <c r="AQ205" i="5" a="1"/>
  <c r="AQ67" i="5" a="1"/>
  <c r="AP67" i="5" a="1"/>
  <c r="AO67" i="5" a="1"/>
  <c r="AN67" i="5" a="1"/>
  <c r="AM67" i="5" a="1"/>
  <c r="AL67" i="5" a="1"/>
  <c r="AK67" i="5" a="1"/>
  <c r="AJ67" i="5" a="1"/>
  <c r="AI67" i="5" a="1"/>
  <c r="AI42" i="5" a="1"/>
  <c r="AU42" i="5" s="1"/>
  <c r="AJ42" i="5" a="1"/>
  <c r="AK42" i="5" a="1"/>
  <c r="AL42" i="5" a="1"/>
  <c r="AM42" i="5" a="1"/>
  <c r="AN42" i="5" a="1"/>
  <c r="AO42" i="5" a="1"/>
  <c r="AP42" i="5" a="1"/>
  <c r="AQ42" i="5" a="1"/>
  <c r="AI43" i="5" a="1"/>
  <c r="AU43" i="5" s="1"/>
  <c r="AJ43" i="5" a="1"/>
  <c r="AK43" i="5" a="1"/>
  <c r="AL43" i="5" a="1"/>
  <c r="AM43" i="5" a="1"/>
  <c r="AN43" i="5" a="1"/>
  <c r="AO43" i="5" a="1"/>
  <c r="AP43" i="5" a="1"/>
  <c r="AQ43" i="5" a="1"/>
  <c r="AI44" i="5" a="1"/>
  <c r="AJ44" i="5" a="1"/>
  <c r="AK44" i="5" a="1"/>
  <c r="AL44" i="5" a="1"/>
  <c r="AM44" i="5" a="1"/>
  <c r="AN44" i="5" a="1"/>
  <c r="AO44" i="5" a="1"/>
  <c r="AP44" i="5" a="1"/>
  <c r="AQ44" i="5" a="1"/>
  <c r="AI45" i="5" a="1"/>
  <c r="AJ45" i="5" a="1"/>
  <c r="AK45" i="5" a="1"/>
  <c r="AL45" i="5" a="1"/>
  <c r="AM45" i="5" a="1"/>
  <c r="AN45" i="5" a="1"/>
  <c r="AO45" i="5" a="1"/>
  <c r="AP45" i="5" a="1"/>
  <c r="AQ45" i="5" a="1"/>
  <c r="AI46" i="5" a="1"/>
  <c r="AJ46" i="5" a="1"/>
  <c r="AK46" i="5" a="1"/>
  <c r="AL46" i="5" a="1"/>
  <c r="AM46" i="5" a="1"/>
  <c r="AN46" i="5" a="1"/>
  <c r="AO46" i="5" a="1"/>
  <c r="AP46" i="5" a="1"/>
  <c r="AQ46" i="5" a="1"/>
  <c r="AI47" i="5" a="1"/>
  <c r="AJ47" i="5" a="1"/>
  <c r="AK47" i="5" a="1"/>
  <c r="AL47" i="5" a="1"/>
  <c r="AM47" i="5" a="1"/>
  <c r="AN47" i="5" a="1"/>
  <c r="AO47" i="5" a="1"/>
  <c r="AP47" i="5" a="1"/>
  <c r="AQ47" i="5" a="1"/>
  <c r="AI48" i="5" a="1"/>
  <c r="AJ48" i="5" a="1"/>
  <c r="AK48" i="5" a="1"/>
  <c r="AL48" i="5" a="1"/>
  <c r="AM48" i="5" a="1"/>
  <c r="AN48" i="5" a="1"/>
  <c r="AO48" i="5" a="1"/>
  <c r="AP48" i="5" a="1"/>
  <c r="AQ48" i="5" a="1"/>
  <c r="AI49" i="5" a="1"/>
  <c r="AJ49" i="5" a="1"/>
  <c r="AK49" i="5" a="1"/>
  <c r="AL49" i="5" a="1"/>
  <c r="AM49" i="5" a="1"/>
  <c r="AN49" i="5" a="1"/>
  <c r="AO49" i="5" a="1"/>
  <c r="AP49" i="5" a="1"/>
  <c r="AQ49" i="5" a="1"/>
  <c r="AI50" i="5" a="1"/>
  <c r="AJ50" i="5" a="1"/>
  <c r="AK50" i="5" a="1"/>
  <c r="AL50" i="5" a="1"/>
  <c r="AM50" i="5" a="1"/>
  <c r="AN50" i="5" a="1"/>
  <c r="AO50" i="5" a="1"/>
  <c r="AP50" i="5" a="1"/>
  <c r="AQ50" i="5" a="1"/>
  <c r="AI51" i="5" a="1"/>
  <c r="AJ51" i="5" a="1"/>
  <c r="AK51" i="5" a="1"/>
  <c r="AL51" i="5" a="1"/>
  <c r="AM51" i="5" a="1"/>
  <c r="AN51" i="5" a="1"/>
  <c r="AO51" i="5" a="1"/>
  <c r="AP51" i="5" a="1"/>
  <c r="AQ51" i="5" a="1"/>
  <c r="AI52" i="5" a="1"/>
  <c r="AJ52" i="5" a="1"/>
  <c r="AK52" i="5" a="1"/>
  <c r="AL52" i="5" a="1"/>
  <c r="AM52" i="5" a="1"/>
  <c r="AN52" i="5" a="1"/>
  <c r="AO52" i="5" a="1"/>
  <c r="AP52" i="5" a="1"/>
  <c r="AQ52" i="5" a="1"/>
  <c r="AI53" i="5" a="1"/>
  <c r="AJ53" i="5" a="1"/>
  <c r="AK53" i="5" a="1"/>
  <c r="AL53" i="5" a="1"/>
  <c r="AM53" i="5" a="1"/>
  <c r="AN53" i="5" a="1"/>
  <c r="AO53" i="5" a="1"/>
  <c r="AP53" i="5" a="1"/>
  <c r="AQ53" i="5" a="1"/>
  <c r="AI54" i="5" a="1"/>
  <c r="AJ54" i="5" a="1"/>
  <c r="AK54" i="5" a="1"/>
  <c r="AL54" i="5" a="1"/>
  <c r="AM54" i="5" a="1"/>
  <c r="AN54" i="5" a="1"/>
  <c r="AO54" i="5" a="1"/>
  <c r="AP54" i="5" a="1"/>
  <c r="AQ54" i="5" a="1"/>
  <c r="AI55" i="5" a="1"/>
  <c r="AJ55" i="5" a="1"/>
  <c r="AK55" i="5" a="1"/>
  <c r="AL55" i="5" a="1"/>
  <c r="AM55" i="5" a="1"/>
  <c r="AN55" i="5" a="1"/>
  <c r="AO55" i="5" a="1"/>
  <c r="AP55" i="5" a="1"/>
  <c r="AQ55" i="5" a="1"/>
  <c r="AI56" i="5" a="1"/>
  <c r="AJ56" i="5" a="1"/>
  <c r="AK56" i="5" a="1"/>
  <c r="AL56" i="5" a="1"/>
  <c r="AM56" i="5" a="1"/>
  <c r="AN56" i="5" a="1"/>
  <c r="AO56" i="5" a="1"/>
  <c r="AP56" i="5" a="1"/>
  <c r="AQ56" i="5" a="1"/>
  <c r="AI57" i="5" a="1"/>
  <c r="AJ57" i="5" a="1"/>
  <c r="AK57" i="5" a="1"/>
  <c r="AL57" i="5" a="1"/>
  <c r="AM57" i="5" a="1"/>
  <c r="AN57" i="5" a="1"/>
  <c r="AO57" i="5" a="1"/>
  <c r="AP57" i="5" a="1"/>
  <c r="AQ57" i="5" a="1"/>
  <c r="AI58" i="5" a="1"/>
  <c r="AJ58" i="5" a="1"/>
  <c r="AK58" i="5" a="1"/>
  <c r="AL58" i="5" a="1"/>
  <c r="AM58" i="5" a="1"/>
  <c r="AN58" i="5" a="1"/>
  <c r="AO58" i="5" a="1"/>
  <c r="AP58" i="5" a="1"/>
  <c r="AQ58" i="5" a="1"/>
  <c r="AI59" i="5" a="1"/>
  <c r="AJ59" i="5" a="1"/>
  <c r="AK59" i="5" a="1"/>
  <c r="AL59" i="5" a="1"/>
  <c r="AM59" i="5" a="1"/>
  <c r="AN59" i="5" a="1"/>
  <c r="AO59" i="5" a="1"/>
  <c r="AP59" i="5" a="1"/>
  <c r="AQ59" i="5" a="1"/>
  <c r="AI60" i="5" a="1"/>
  <c r="AJ60" i="5" a="1"/>
  <c r="AK60" i="5" a="1"/>
  <c r="AL60" i="5" a="1"/>
  <c r="AM60" i="5" a="1"/>
  <c r="AN60" i="5" a="1"/>
  <c r="AO60" i="5" a="1"/>
  <c r="AP60" i="5" a="1"/>
  <c r="AQ60" i="5" a="1"/>
  <c r="AI61" i="5" a="1"/>
  <c r="AJ61" i="5" a="1"/>
  <c r="AK61" i="5" a="1"/>
  <c r="AL61" i="5" a="1"/>
  <c r="AM61" i="5" a="1"/>
  <c r="AN61" i="5" a="1"/>
  <c r="AO61" i="5" a="1"/>
  <c r="AP61" i="5" a="1"/>
  <c r="AQ61" i="5" a="1"/>
  <c r="AI62" i="5" a="1"/>
  <c r="AJ62" i="5" a="1"/>
  <c r="AK62" i="5" a="1"/>
  <c r="AL62" i="5" a="1"/>
  <c r="AM62" i="5" a="1"/>
  <c r="AN62" i="5" a="1"/>
  <c r="AO62" i="5" a="1"/>
  <c r="AP62" i="5" a="1"/>
  <c r="AQ62" i="5" a="1"/>
  <c r="AI63" i="5" a="1"/>
  <c r="AJ63" i="5" a="1"/>
  <c r="AK63" i="5" a="1"/>
  <c r="AL63" i="5" a="1"/>
  <c r="AM63" i="5" a="1"/>
  <c r="AN63" i="5" a="1"/>
  <c r="AO63" i="5" a="1"/>
  <c r="AP63" i="5" a="1"/>
  <c r="AQ63" i="5" a="1"/>
  <c r="AI64" i="5" a="1"/>
  <c r="AJ64" i="5" a="1"/>
  <c r="AK64" i="5" a="1"/>
  <c r="AL64" i="5" a="1"/>
  <c r="AM64" i="5" a="1"/>
  <c r="AN64" i="5" a="1"/>
  <c r="AO64" i="5" a="1"/>
  <c r="AP64" i="5" a="1"/>
  <c r="AQ64" i="5" a="1"/>
  <c r="AI27" i="5" a="1"/>
  <c r="AJ27" i="5" a="1"/>
  <c r="AK27" i="5" a="1"/>
  <c r="AL27" i="5" a="1"/>
  <c r="AM27" i="5" a="1"/>
  <c r="AN27" i="5" a="1"/>
  <c r="AO27" i="5" a="1"/>
  <c r="AP27" i="5" a="1"/>
  <c r="AQ27" i="5" a="1"/>
  <c r="AI28" i="5" a="1"/>
  <c r="AJ28" i="5" a="1"/>
  <c r="AK28" i="5" a="1"/>
  <c r="AL28" i="5" a="1"/>
  <c r="AM28" i="5" a="1"/>
  <c r="AN28" i="5" a="1"/>
  <c r="AO28" i="5" a="1"/>
  <c r="AP28" i="5" a="1"/>
  <c r="AQ28" i="5" a="1"/>
  <c r="AI29" i="5" a="1"/>
  <c r="AJ29" i="5" a="1"/>
  <c r="AK29" i="5" a="1"/>
  <c r="AL29" i="5" a="1"/>
  <c r="AM29" i="5" a="1"/>
  <c r="AN29" i="5" a="1"/>
  <c r="AO29" i="5" a="1"/>
  <c r="AP29" i="5" a="1"/>
  <c r="AQ29" i="5" a="1"/>
  <c r="AI30" i="5" a="1"/>
  <c r="AJ30" i="5" a="1"/>
  <c r="AK30" i="5" a="1"/>
  <c r="AL30" i="5" a="1"/>
  <c r="AM30" i="5" a="1"/>
  <c r="AN30" i="5" a="1"/>
  <c r="AO30" i="5" a="1"/>
  <c r="AP30" i="5" a="1"/>
  <c r="AQ30" i="5" a="1"/>
  <c r="AI31" i="5" a="1"/>
  <c r="AJ31" i="5" a="1"/>
  <c r="AK31" i="5" a="1"/>
  <c r="AL31" i="5" a="1"/>
  <c r="AM31" i="5" a="1"/>
  <c r="AN31" i="5" a="1"/>
  <c r="AO31" i="5" a="1"/>
  <c r="AP31" i="5" a="1"/>
  <c r="AQ31" i="5" a="1"/>
  <c r="AI32" i="5" a="1"/>
  <c r="AJ32" i="5" a="1"/>
  <c r="AK32" i="5" a="1"/>
  <c r="AL32" i="5" a="1"/>
  <c r="AM32" i="5" a="1"/>
  <c r="AN32" i="5" a="1"/>
  <c r="AO32" i="5" a="1"/>
  <c r="AP32" i="5" a="1"/>
  <c r="AQ32" i="5" a="1"/>
  <c r="AI33" i="5" a="1"/>
  <c r="AJ33" i="5" a="1"/>
  <c r="AK33" i="5" a="1"/>
  <c r="AL33" i="5" a="1"/>
  <c r="AM33" i="5" a="1"/>
  <c r="AN33" i="5" a="1"/>
  <c r="AO33" i="5" a="1"/>
  <c r="AP33" i="5" a="1"/>
  <c r="AQ33" i="5" a="1"/>
  <c r="AI34" i="5" a="1"/>
  <c r="AJ34" i="5" a="1"/>
  <c r="AK34" i="5" a="1"/>
  <c r="AL34" i="5" a="1"/>
  <c r="AM34" i="5" a="1"/>
  <c r="AN34" i="5" a="1"/>
  <c r="AO34" i="5" a="1"/>
  <c r="AP34" i="5" a="1"/>
  <c r="AQ34" i="5" a="1"/>
  <c r="AI35" i="5" a="1"/>
  <c r="AJ35" i="5" a="1"/>
  <c r="AK35" i="5" a="1"/>
  <c r="AL35" i="5" a="1"/>
  <c r="AM35" i="5" a="1"/>
  <c r="AN35" i="5" a="1"/>
  <c r="AO35" i="5" a="1"/>
  <c r="AP35" i="5" a="1"/>
  <c r="AQ35" i="5" a="1"/>
  <c r="AI36" i="5" a="1"/>
  <c r="AJ36" i="5" a="1"/>
  <c r="AK36" i="5" a="1"/>
  <c r="AL36" i="5" a="1"/>
  <c r="AM36" i="5" a="1"/>
  <c r="AN36" i="5" a="1"/>
  <c r="AO36" i="5" a="1"/>
  <c r="AP36" i="5" a="1"/>
  <c r="AQ36" i="5" a="1"/>
  <c r="AI37" i="5" a="1"/>
  <c r="AJ37" i="5" a="1"/>
  <c r="AK37" i="5" a="1"/>
  <c r="AL37" i="5" a="1"/>
  <c r="AM37" i="5" a="1"/>
  <c r="AN37" i="5" a="1"/>
  <c r="AO37" i="5" a="1"/>
  <c r="AP37" i="5" a="1"/>
  <c r="AQ37" i="5" a="1"/>
  <c r="AI38" i="5" a="1"/>
  <c r="AJ38" i="5" a="1"/>
  <c r="AK38" i="5" a="1"/>
  <c r="AL38" i="5" a="1"/>
  <c r="AM38" i="5" a="1"/>
  <c r="AN38" i="5" a="1"/>
  <c r="AO38" i="5" a="1"/>
  <c r="AP38" i="5" a="1"/>
  <c r="AQ38" i="5" a="1"/>
  <c r="AI39" i="5" a="1"/>
  <c r="AJ39" i="5" a="1"/>
  <c r="AK39" i="5" a="1"/>
  <c r="AL39" i="5" a="1"/>
  <c r="AM39" i="5" a="1"/>
  <c r="AN39" i="5" a="1"/>
  <c r="AO39" i="5" a="1"/>
  <c r="AP39" i="5" a="1"/>
  <c r="AQ39" i="5" a="1"/>
  <c r="AI40" i="5" a="1"/>
  <c r="AJ40" i="5" a="1"/>
  <c r="AK40" i="5" a="1"/>
  <c r="AL40" i="5" a="1"/>
  <c r="AM40" i="5" a="1"/>
  <c r="AN40" i="5" a="1"/>
  <c r="AO40" i="5" a="1"/>
  <c r="AP40" i="5" a="1"/>
  <c r="AQ40" i="5" a="1"/>
  <c r="AI41" i="5" a="1"/>
  <c r="AJ41" i="5" a="1"/>
  <c r="AK41" i="5" a="1"/>
  <c r="AL41" i="5" a="1"/>
  <c r="AM41" i="5" a="1"/>
  <c r="AN41" i="5" a="1"/>
  <c r="AO41" i="5" a="1"/>
  <c r="AP41" i="5" a="1"/>
  <c r="AQ41" i="5" a="1"/>
  <c r="AJ26" i="5" a="1"/>
  <c r="AK26" i="5" a="1"/>
  <c r="AL26" i="5" a="1"/>
  <c r="AM26" i="5" a="1"/>
  <c r="AN26" i="5" a="1"/>
  <c r="AO26" i="5" a="1"/>
  <c r="AP26" i="5" a="1"/>
  <c r="AQ26" i="5" a="1"/>
  <c r="AI26" i="5" a="1"/>
  <c r="X211" i="5" a="1"/>
  <c r="Y211" i="5" a="1"/>
  <c r="Z211" i="5" a="1"/>
  <c r="AA211" i="5" a="1"/>
  <c r="AB211" i="5" a="1"/>
  <c r="AC211" i="5" a="1"/>
  <c r="AD211" i="5" a="1"/>
  <c r="AE211" i="5" a="1"/>
  <c r="AF211" i="5" a="1"/>
  <c r="X212" i="5" a="1"/>
  <c r="Y212" i="5" a="1"/>
  <c r="Z212" i="5" a="1"/>
  <c r="AA212" i="5" a="1"/>
  <c r="AB212" i="5" a="1"/>
  <c r="AC212" i="5" a="1"/>
  <c r="AD212" i="5" a="1"/>
  <c r="AE212" i="5" a="1"/>
  <c r="AF212" i="5" a="1"/>
  <c r="X213" i="5" a="1"/>
  <c r="Y213" i="5" a="1"/>
  <c r="Z213" i="5" a="1"/>
  <c r="AA213" i="5" a="1"/>
  <c r="AB213" i="5" a="1"/>
  <c r="AC213" i="5" a="1"/>
  <c r="AD213" i="5" a="1"/>
  <c r="AE213" i="5" a="1"/>
  <c r="AF213" i="5" a="1"/>
  <c r="X214" i="5" a="1"/>
  <c r="Y214" i="5" a="1"/>
  <c r="Z214" i="5" a="1"/>
  <c r="AA214" i="5" a="1"/>
  <c r="AB214" i="5" a="1"/>
  <c r="AC214" i="5" a="1"/>
  <c r="AD214" i="5" a="1"/>
  <c r="AE214" i="5" a="1"/>
  <c r="AF214" i="5" a="1"/>
  <c r="X215" i="5" a="1"/>
  <c r="Y215" i="5" a="1"/>
  <c r="Z215" i="5" a="1"/>
  <c r="AA215" i="5" a="1"/>
  <c r="AB215" i="5" a="1"/>
  <c r="AC215" i="5" a="1"/>
  <c r="AD215" i="5" a="1"/>
  <c r="AE215" i="5" a="1"/>
  <c r="AF215" i="5" a="1"/>
  <c r="X216" i="5" a="1"/>
  <c r="Y216" i="5" a="1"/>
  <c r="Z216" i="5" a="1"/>
  <c r="AA216" i="5" a="1"/>
  <c r="AB216" i="5" a="1"/>
  <c r="AC216" i="5" a="1"/>
  <c r="AD216" i="5" a="1"/>
  <c r="AE216" i="5" a="1"/>
  <c r="AF216" i="5" a="1"/>
  <c r="X217" i="5" a="1"/>
  <c r="Y217" i="5" a="1"/>
  <c r="Z217" i="5" a="1"/>
  <c r="AA217" i="5" a="1"/>
  <c r="AB217" i="5" a="1"/>
  <c r="AC217" i="5" a="1"/>
  <c r="AD217" i="5" a="1"/>
  <c r="AE217" i="5" a="1"/>
  <c r="AF217" i="5" a="1"/>
  <c r="X218" i="5" a="1"/>
  <c r="Y218" i="5" a="1"/>
  <c r="Z218" i="5" a="1"/>
  <c r="AA218" i="5" a="1"/>
  <c r="AB218" i="5" a="1"/>
  <c r="AC218" i="5" a="1"/>
  <c r="AD218" i="5" a="1"/>
  <c r="AE218" i="5" a="1"/>
  <c r="AF218" i="5" a="1"/>
  <c r="X219" i="5" a="1"/>
  <c r="Y219" i="5" a="1"/>
  <c r="Z219" i="5" a="1"/>
  <c r="AA219" i="5" a="1"/>
  <c r="AB219" i="5" a="1"/>
  <c r="AC219" i="5" a="1"/>
  <c r="AD219" i="5" a="1"/>
  <c r="AE219" i="5" a="1"/>
  <c r="AF219" i="5" a="1"/>
  <c r="X220" i="5" a="1"/>
  <c r="Y220" i="5" a="1"/>
  <c r="Z220" i="5" a="1"/>
  <c r="AA220" i="5" a="1"/>
  <c r="AB220" i="5" a="1"/>
  <c r="AC220" i="5" a="1"/>
  <c r="AD220" i="5" a="1"/>
  <c r="AE220" i="5" a="1"/>
  <c r="AF220" i="5" a="1"/>
  <c r="X221" i="5" a="1"/>
  <c r="Y221" i="5" a="1"/>
  <c r="Z221" i="5" a="1"/>
  <c r="AA221" i="5" a="1"/>
  <c r="AB221" i="5" a="1"/>
  <c r="AC221" i="5" a="1"/>
  <c r="AD221" i="5" a="1"/>
  <c r="AE221" i="5" a="1"/>
  <c r="AF221" i="5" a="1"/>
  <c r="X222" i="5" a="1"/>
  <c r="Y222" i="5" a="1"/>
  <c r="Z222" i="5" a="1"/>
  <c r="AA222" i="5" a="1"/>
  <c r="AB222" i="5" a="1"/>
  <c r="AC222" i="5" a="1"/>
  <c r="AD222" i="5" a="1"/>
  <c r="AE222" i="5" a="1"/>
  <c r="AF222" i="5" a="1"/>
  <c r="X223" i="5" a="1"/>
  <c r="Y223" i="5" a="1"/>
  <c r="Z223" i="5" a="1"/>
  <c r="AA223" i="5" a="1"/>
  <c r="AB223" i="5" a="1"/>
  <c r="AC223" i="5" a="1"/>
  <c r="AD223" i="5" a="1"/>
  <c r="AE223" i="5" a="1"/>
  <c r="AF223" i="5" a="1"/>
  <c r="X224" i="5" a="1"/>
  <c r="Y224" i="5" a="1"/>
  <c r="Z224" i="5" a="1"/>
  <c r="AA224" i="5" a="1"/>
  <c r="AB224" i="5" a="1"/>
  <c r="AC224" i="5" a="1"/>
  <c r="AD224" i="5" a="1"/>
  <c r="AE224" i="5" a="1"/>
  <c r="AF224" i="5" a="1"/>
  <c r="X225" i="5" a="1"/>
  <c r="Y225" i="5" a="1"/>
  <c r="Z225" i="5" a="1"/>
  <c r="AA225" i="5" a="1"/>
  <c r="AB225" i="5" a="1"/>
  <c r="AC225" i="5" a="1"/>
  <c r="AD225" i="5" a="1"/>
  <c r="AE225" i="5" a="1"/>
  <c r="AF225" i="5" a="1"/>
  <c r="X226" i="5" a="1"/>
  <c r="Y226" i="5" a="1"/>
  <c r="Z226" i="5" a="1"/>
  <c r="AA226" i="5" a="1"/>
  <c r="AB226" i="5" a="1"/>
  <c r="AC226" i="5" a="1"/>
  <c r="AD226" i="5" a="1"/>
  <c r="AE226" i="5" a="1"/>
  <c r="AF226" i="5" a="1"/>
  <c r="X227" i="5" a="1"/>
  <c r="Y227" i="5" a="1"/>
  <c r="Z227" i="5" a="1"/>
  <c r="AA227" i="5" a="1"/>
  <c r="AB227" i="5" a="1"/>
  <c r="AC227" i="5" a="1"/>
  <c r="AD227" i="5" a="1"/>
  <c r="AE227" i="5" a="1"/>
  <c r="AF227" i="5" a="1"/>
  <c r="X228" i="5" a="1"/>
  <c r="Y228" i="5" a="1"/>
  <c r="Z228" i="5" a="1"/>
  <c r="AA228" i="5" a="1"/>
  <c r="AB228" i="5" a="1"/>
  <c r="AC228" i="5" a="1"/>
  <c r="AD228" i="5" a="1"/>
  <c r="AE228" i="5" a="1"/>
  <c r="AF228" i="5" a="1"/>
  <c r="X229" i="5" a="1"/>
  <c r="Y229" i="5" a="1"/>
  <c r="Z229" i="5" a="1"/>
  <c r="AA229" i="5" a="1"/>
  <c r="AB229" i="5" a="1"/>
  <c r="AC229" i="5" a="1"/>
  <c r="AD229" i="5" a="1"/>
  <c r="AE229" i="5" a="1"/>
  <c r="AF229" i="5" a="1"/>
  <c r="X230" i="5" a="1"/>
  <c r="Y230" i="5" a="1"/>
  <c r="Z230" i="5" a="1"/>
  <c r="AA230" i="5" a="1"/>
  <c r="AB230" i="5" a="1"/>
  <c r="AC230" i="5" a="1"/>
  <c r="AD230" i="5" a="1"/>
  <c r="AE230" i="5" a="1"/>
  <c r="AF230" i="5" a="1"/>
  <c r="X231" i="5" a="1"/>
  <c r="Y231" i="5" a="1"/>
  <c r="Z231" i="5" a="1"/>
  <c r="AA231" i="5" a="1"/>
  <c r="AB231" i="5" a="1"/>
  <c r="AC231" i="5" a="1"/>
  <c r="AD231" i="5" a="1"/>
  <c r="AE231" i="5" a="1"/>
  <c r="AF231" i="5" a="1"/>
  <c r="X232" i="5" a="1"/>
  <c r="Y232" i="5" a="1"/>
  <c r="Z232" i="5" a="1"/>
  <c r="AA232" i="5" a="1"/>
  <c r="AB232" i="5" a="1"/>
  <c r="AC232" i="5" a="1"/>
  <c r="AD232" i="5" a="1"/>
  <c r="AE232" i="5" a="1"/>
  <c r="AF232" i="5" a="1"/>
  <c r="X233" i="5" a="1"/>
  <c r="AU233" i="5" s="1"/>
  <c r="Y233" i="5" a="1"/>
  <c r="Z233" i="5" a="1"/>
  <c r="AA233" i="5" a="1"/>
  <c r="AB233" i="5" a="1"/>
  <c r="AC233" i="5" a="1"/>
  <c r="AD233" i="5" a="1"/>
  <c r="AE233" i="5" a="1"/>
  <c r="AF233" i="5" a="1"/>
  <c r="X234" i="5" a="1"/>
  <c r="AU234" i="5" s="1"/>
  <c r="Y234" i="5" a="1"/>
  <c r="Z234" i="5" a="1"/>
  <c r="AA234" i="5" a="1"/>
  <c r="AB234" i="5" a="1"/>
  <c r="AC234" i="5" a="1"/>
  <c r="AD234" i="5" a="1"/>
  <c r="AE234" i="5" a="1"/>
  <c r="AF234" i="5" a="1"/>
  <c r="X235" i="5" a="1"/>
  <c r="AU235" i="5" s="1"/>
  <c r="Y235" i="5" a="1"/>
  <c r="Z235" i="5" a="1"/>
  <c r="AA235" i="5" a="1"/>
  <c r="AB235" i="5" a="1"/>
  <c r="AC235" i="5" a="1"/>
  <c r="AD235" i="5" a="1"/>
  <c r="AE235" i="5" a="1"/>
  <c r="AF235" i="5" a="1"/>
  <c r="X236" i="5" a="1"/>
  <c r="AU236" i="5" s="1"/>
  <c r="Y236" i="5" a="1"/>
  <c r="Z236" i="5" a="1"/>
  <c r="AA236" i="5" a="1"/>
  <c r="AB236" i="5" a="1"/>
  <c r="AC236" i="5" a="1"/>
  <c r="AD236" i="5" a="1"/>
  <c r="AE236" i="5" a="1"/>
  <c r="AF236" i="5" a="1"/>
  <c r="X237" i="5" a="1"/>
  <c r="AU237" i="5" s="1"/>
  <c r="Y237" i="5" a="1"/>
  <c r="Z237" i="5" a="1"/>
  <c r="AA237" i="5" a="1"/>
  <c r="AB237" i="5" a="1"/>
  <c r="AC237" i="5" a="1"/>
  <c r="AD237" i="5" a="1"/>
  <c r="AE237" i="5" a="1"/>
  <c r="AF237" i="5" a="1"/>
  <c r="X238" i="5" a="1"/>
  <c r="AU238" i="5" s="1"/>
  <c r="Y238" i="5" a="1"/>
  <c r="Z238" i="5" a="1"/>
  <c r="AA238" i="5" a="1"/>
  <c r="AB238" i="5" a="1"/>
  <c r="AC238" i="5" a="1"/>
  <c r="AD238" i="5" a="1"/>
  <c r="AE238" i="5" a="1"/>
  <c r="AF238" i="5" a="1"/>
  <c r="X239" i="5" a="1"/>
  <c r="AU239" i="5" s="1"/>
  <c r="Y239" i="5" a="1"/>
  <c r="Z239" i="5" a="1"/>
  <c r="AA239" i="5" a="1"/>
  <c r="AB239" i="5" a="1"/>
  <c r="AC239" i="5" a="1"/>
  <c r="AD239" i="5" a="1"/>
  <c r="AE239" i="5" a="1"/>
  <c r="AF239" i="5" a="1"/>
  <c r="X240" i="5" a="1"/>
  <c r="Y240" i="5" a="1"/>
  <c r="Z240" i="5" a="1"/>
  <c r="AA240" i="5" a="1"/>
  <c r="AB240" i="5" a="1"/>
  <c r="AC240" i="5" a="1"/>
  <c r="AD240" i="5" a="1"/>
  <c r="AE240" i="5" a="1"/>
  <c r="AF240" i="5" a="1"/>
  <c r="X241" i="5" a="1"/>
  <c r="Y241" i="5" a="1"/>
  <c r="Z241" i="5" a="1"/>
  <c r="AA241" i="5" a="1"/>
  <c r="AB241" i="5" a="1"/>
  <c r="AC241" i="5" a="1"/>
  <c r="AD241" i="5" a="1"/>
  <c r="AE241" i="5" a="1"/>
  <c r="AF241" i="5" a="1"/>
  <c r="X242" i="5" a="1"/>
  <c r="AU242" i="5" s="1"/>
  <c r="Y242" i="5" a="1"/>
  <c r="Z242" i="5" a="1"/>
  <c r="AA242" i="5" a="1"/>
  <c r="AB242" i="5" a="1"/>
  <c r="AC242" i="5" a="1"/>
  <c r="AD242" i="5" a="1"/>
  <c r="AE242" i="5" a="1"/>
  <c r="AF242" i="5" a="1"/>
  <c r="X243" i="5" a="1"/>
  <c r="Y243" i="5" a="1"/>
  <c r="Z243" i="5" a="1"/>
  <c r="AA243" i="5" a="1"/>
  <c r="AB243" i="5" a="1"/>
  <c r="AC243" i="5" a="1"/>
  <c r="AD243" i="5" a="1"/>
  <c r="AE243" i="5" a="1"/>
  <c r="AF243" i="5" a="1"/>
  <c r="X244" i="5" a="1"/>
  <c r="AU244" i="5" s="1"/>
  <c r="Y244" i="5" a="1"/>
  <c r="Z244" i="5" a="1"/>
  <c r="AA244" i="5" a="1"/>
  <c r="AB244" i="5" a="1"/>
  <c r="AC244" i="5" a="1"/>
  <c r="AD244" i="5" a="1"/>
  <c r="AE244" i="5" a="1"/>
  <c r="AF244" i="5" a="1"/>
  <c r="X245" i="5" a="1"/>
  <c r="Y245" i="5" a="1"/>
  <c r="Z245" i="5" a="1"/>
  <c r="AA245" i="5" a="1"/>
  <c r="AB245" i="5" a="1"/>
  <c r="AC245" i="5" a="1"/>
  <c r="AD245" i="5" a="1"/>
  <c r="AE245" i="5" a="1"/>
  <c r="AF245" i="5" a="1"/>
  <c r="X246" i="5" a="1"/>
  <c r="AU246" i="5" s="1"/>
  <c r="Y246" i="5" a="1"/>
  <c r="Z246" i="5" a="1"/>
  <c r="AA246" i="5" a="1"/>
  <c r="AB246" i="5" a="1"/>
  <c r="AC246" i="5" a="1"/>
  <c r="AD246" i="5" a="1"/>
  <c r="AE246" i="5" a="1"/>
  <c r="AF246" i="5" a="1"/>
  <c r="X247" i="5" a="1"/>
  <c r="AU247" i="5" s="1"/>
  <c r="Y247" i="5" a="1"/>
  <c r="Z247" i="5" a="1"/>
  <c r="AA247" i="5" a="1"/>
  <c r="AB247" i="5" a="1"/>
  <c r="AC247" i="5" a="1"/>
  <c r="AD247" i="5" a="1"/>
  <c r="AE247" i="5" a="1"/>
  <c r="AF247" i="5" a="1"/>
  <c r="X248" i="5" a="1"/>
  <c r="AU248" i="5" s="1"/>
  <c r="Y248" i="5" a="1"/>
  <c r="Z248" i="5" a="1"/>
  <c r="AA248" i="5" a="1"/>
  <c r="AB248" i="5" a="1"/>
  <c r="AC248" i="5" a="1"/>
  <c r="AD248" i="5" a="1"/>
  <c r="AE248" i="5" a="1"/>
  <c r="AF248" i="5" a="1"/>
  <c r="X249" i="5" a="1"/>
  <c r="AU249" i="5" s="1"/>
  <c r="Y249" i="5" a="1"/>
  <c r="Z249" i="5" a="1"/>
  <c r="AA249" i="5" a="1"/>
  <c r="AB249" i="5" a="1"/>
  <c r="AC249" i="5" a="1"/>
  <c r="AD249" i="5" a="1"/>
  <c r="AE249" i="5" a="1"/>
  <c r="AF249" i="5" a="1"/>
  <c r="X250" i="5" a="1"/>
  <c r="AU250" i="5" s="1"/>
  <c r="Y250" i="5" a="1"/>
  <c r="Z250" i="5" a="1"/>
  <c r="AA250" i="5" a="1"/>
  <c r="AB250" i="5" a="1"/>
  <c r="AC250" i="5" a="1"/>
  <c r="AD250" i="5" a="1"/>
  <c r="AE250" i="5" a="1"/>
  <c r="AF250" i="5" a="1"/>
  <c r="X251" i="5" a="1"/>
  <c r="AU251" i="5" s="1"/>
  <c r="Y251" i="5" a="1"/>
  <c r="Z251" i="5" a="1"/>
  <c r="AA251" i="5" a="1"/>
  <c r="AB251" i="5" a="1"/>
  <c r="AC251" i="5" a="1"/>
  <c r="AD251" i="5" a="1"/>
  <c r="AE251" i="5" a="1"/>
  <c r="AF251" i="5" a="1"/>
  <c r="X252" i="5" a="1"/>
  <c r="AU252" i="5" s="1"/>
  <c r="Y252" i="5" a="1"/>
  <c r="Z252" i="5" a="1"/>
  <c r="AA252" i="5" a="1"/>
  <c r="AB252" i="5" a="1"/>
  <c r="AC252" i="5" a="1"/>
  <c r="AD252" i="5" a="1"/>
  <c r="AE252" i="5" a="1"/>
  <c r="AF252" i="5" a="1"/>
  <c r="X253" i="5" a="1"/>
  <c r="AU253" i="5" s="1"/>
  <c r="Y253" i="5" a="1"/>
  <c r="Z253" i="5" a="1"/>
  <c r="AA253" i="5" a="1"/>
  <c r="AB253" i="5" a="1"/>
  <c r="AC253" i="5" a="1"/>
  <c r="AD253" i="5" a="1"/>
  <c r="AE253" i="5" a="1"/>
  <c r="AF253" i="5" a="1"/>
  <c r="X254" i="5" a="1"/>
  <c r="AU254" i="5" s="1"/>
  <c r="Y254" i="5" a="1"/>
  <c r="Z254" i="5" a="1"/>
  <c r="AA254" i="5" a="1"/>
  <c r="AB254" i="5" a="1"/>
  <c r="AC254" i="5" a="1"/>
  <c r="AD254" i="5" a="1"/>
  <c r="AE254" i="5" a="1"/>
  <c r="AF254" i="5" a="1"/>
  <c r="X255" i="5" a="1"/>
  <c r="AU255" i="5" s="1"/>
  <c r="Y255" i="5" a="1"/>
  <c r="Z255" i="5" a="1"/>
  <c r="AA255" i="5" a="1"/>
  <c r="AB255" i="5" a="1"/>
  <c r="AC255" i="5" a="1"/>
  <c r="AD255" i="5" a="1"/>
  <c r="AE255" i="5" a="1"/>
  <c r="AF255" i="5" a="1"/>
  <c r="AF210" i="5" a="1"/>
  <c r="AE210" i="5" a="1"/>
  <c r="AD210" i="5" a="1"/>
  <c r="AC210" i="5" a="1"/>
  <c r="AB210" i="5" a="1"/>
  <c r="AA210" i="5" a="1"/>
  <c r="Z210" i="5" a="1"/>
  <c r="Y210" i="5" a="1"/>
  <c r="X210" i="5" a="1"/>
  <c r="X68" i="5" a="1"/>
  <c r="Y68" i="5" a="1"/>
  <c r="Z68" i="5" a="1"/>
  <c r="AA68" i="5" a="1"/>
  <c r="AB68" i="5" a="1"/>
  <c r="AC68" i="5" a="1"/>
  <c r="AD68" i="5" a="1"/>
  <c r="AE68" i="5" a="1"/>
  <c r="AF68" i="5" a="1"/>
  <c r="X69" i="5" a="1"/>
  <c r="Y69" i="5" a="1"/>
  <c r="Z69" i="5" a="1"/>
  <c r="AA69" i="5" a="1"/>
  <c r="AB69" i="5" a="1"/>
  <c r="AC69" i="5" a="1"/>
  <c r="AD69" i="5" a="1"/>
  <c r="AE69" i="5" a="1"/>
  <c r="AF69" i="5" a="1"/>
  <c r="X70" i="5" a="1"/>
  <c r="Y70" i="5" a="1"/>
  <c r="Z70" i="5" a="1"/>
  <c r="AA70" i="5" a="1"/>
  <c r="AB70" i="5" a="1"/>
  <c r="AC70" i="5" a="1"/>
  <c r="AD70" i="5" a="1"/>
  <c r="AE70" i="5" a="1"/>
  <c r="AF70" i="5" a="1"/>
  <c r="X71" i="5" a="1"/>
  <c r="Y71" i="5" a="1"/>
  <c r="Z71" i="5" a="1"/>
  <c r="AA71" i="5" a="1"/>
  <c r="AB71" i="5" a="1"/>
  <c r="AC71" i="5" a="1"/>
  <c r="AD71" i="5" a="1"/>
  <c r="AE71" i="5" a="1"/>
  <c r="AF71" i="5" a="1"/>
  <c r="X72" i="5" a="1"/>
  <c r="Y72" i="5" a="1"/>
  <c r="Z72" i="5" a="1"/>
  <c r="AA72" i="5" a="1"/>
  <c r="AB72" i="5" a="1"/>
  <c r="AC72" i="5" a="1"/>
  <c r="AD72" i="5" a="1"/>
  <c r="AE72" i="5" a="1"/>
  <c r="AF72" i="5" a="1"/>
  <c r="X73" i="5" a="1"/>
  <c r="Y73" i="5" a="1"/>
  <c r="Z73" i="5" a="1"/>
  <c r="AA73" i="5" a="1"/>
  <c r="AB73" i="5" a="1"/>
  <c r="AC73" i="5" a="1"/>
  <c r="AD73" i="5" a="1"/>
  <c r="AE73" i="5" a="1"/>
  <c r="AF73" i="5" a="1"/>
  <c r="X74" i="5" a="1"/>
  <c r="Y74" i="5" a="1"/>
  <c r="Z74" i="5" a="1"/>
  <c r="AA74" i="5" a="1"/>
  <c r="AB74" i="5" a="1"/>
  <c r="AC74" i="5" a="1"/>
  <c r="AD74" i="5" a="1"/>
  <c r="AE74" i="5" a="1"/>
  <c r="AF74" i="5" a="1"/>
  <c r="X75" i="5" a="1"/>
  <c r="Y75" i="5" a="1"/>
  <c r="Z75" i="5" a="1"/>
  <c r="AA75" i="5" a="1"/>
  <c r="AB75" i="5" a="1"/>
  <c r="AC75" i="5" a="1"/>
  <c r="AD75" i="5" a="1"/>
  <c r="AE75" i="5" a="1"/>
  <c r="AF75" i="5" a="1"/>
  <c r="X76" i="5" a="1"/>
  <c r="Y76" i="5" a="1"/>
  <c r="Z76" i="5" a="1"/>
  <c r="AA76" i="5" a="1"/>
  <c r="AB76" i="5" a="1"/>
  <c r="AC76" i="5" a="1"/>
  <c r="AD76" i="5" a="1"/>
  <c r="AE76" i="5" a="1"/>
  <c r="AF76" i="5" a="1"/>
  <c r="X77" i="5" a="1"/>
  <c r="Y77" i="5" a="1"/>
  <c r="Z77" i="5" a="1"/>
  <c r="AA77" i="5" a="1"/>
  <c r="AB77" i="5" a="1"/>
  <c r="AC77" i="5" a="1"/>
  <c r="AD77" i="5" a="1"/>
  <c r="AE77" i="5" a="1"/>
  <c r="AF77" i="5" a="1"/>
  <c r="X78" i="5" a="1"/>
  <c r="Y78" i="5" a="1"/>
  <c r="Z78" i="5" a="1"/>
  <c r="AA78" i="5" a="1"/>
  <c r="AB78" i="5" a="1"/>
  <c r="AC78" i="5" a="1"/>
  <c r="AD78" i="5" a="1"/>
  <c r="AE78" i="5" a="1"/>
  <c r="AF78" i="5" a="1"/>
  <c r="X79" i="5" a="1"/>
  <c r="Y79" i="5" a="1"/>
  <c r="Z79" i="5" a="1"/>
  <c r="AA79" i="5" a="1"/>
  <c r="AB79" i="5" a="1"/>
  <c r="AC79" i="5" a="1"/>
  <c r="AD79" i="5" a="1"/>
  <c r="AE79" i="5" a="1"/>
  <c r="AF79" i="5" a="1"/>
  <c r="X80" i="5" a="1"/>
  <c r="Y80" i="5" a="1"/>
  <c r="Z80" i="5" a="1"/>
  <c r="AA80" i="5" a="1"/>
  <c r="AB80" i="5" a="1"/>
  <c r="AC80" i="5" a="1"/>
  <c r="AD80" i="5" a="1"/>
  <c r="AE80" i="5" a="1"/>
  <c r="AF80" i="5" a="1"/>
  <c r="X81" i="5" a="1"/>
  <c r="Y81" i="5" a="1"/>
  <c r="Z81" i="5" a="1"/>
  <c r="AA81" i="5" a="1"/>
  <c r="AB81" i="5" a="1"/>
  <c r="AC81" i="5" a="1"/>
  <c r="AD81" i="5" a="1"/>
  <c r="AE81" i="5" a="1"/>
  <c r="AF81" i="5" a="1"/>
  <c r="X82" i="5" a="1"/>
  <c r="Y82" i="5" a="1"/>
  <c r="Z82" i="5" a="1"/>
  <c r="AA82" i="5" a="1"/>
  <c r="AB82" i="5" a="1"/>
  <c r="AC82" i="5" a="1"/>
  <c r="AD82" i="5" a="1"/>
  <c r="AE82" i="5" a="1"/>
  <c r="AF82" i="5" a="1"/>
  <c r="X83" i="5" a="1"/>
  <c r="Y83" i="5" a="1"/>
  <c r="Z83" i="5" a="1"/>
  <c r="AA83" i="5" a="1"/>
  <c r="AB83" i="5" a="1"/>
  <c r="AC83" i="5" a="1"/>
  <c r="AD83" i="5" a="1"/>
  <c r="AE83" i="5" a="1"/>
  <c r="AF83" i="5" a="1"/>
  <c r="X84" i="5" a="1"/>
  <c r="Y84" i="5" a="1"/>
  <c r="Z84" i="5" a="1"/>
  <c r="AA84" i="5" a="1"/>
  <c r="AB84" i="5" a="1"/>
  <c r="AC84" i="5" a="1"/>
  <c r="AD84" i="5" a="1"/>
  <c r="AE84" i="5" a="1"/>
  <c r="AF84" i="5" a="1"/>
  <c r="X85" i="5" a="1"/>
  <c r="Y85" i="5" a="1"/>
  <c r="Z85" i="5" a="1"/>
  <c r="AA85" i="5" a="1"/>
  <c r="AB85" i="5" a="1"/>
  <c r="AC85" i="5" a="1"/>
  <c r="AD85" i="5" a="1"/>
  <c r="AE85" i="5" a="1"/>
  <c r="AF85" i="5" a="1"/>
  <c r="X86" i="5" a="1"/>
  <c r="Y86" i="5" a="1"/>
  <c r="Z86" i="5" a="1"/>
  <c r="AA86" i="5" a="1"/>
  <c r="AB86" i="5" a="1"/>
  <c r="AC86" i="5" a="1"/>
  <c r="AD86" i="5" a="1"/>
  <c r="AE86" i="5" a="1"/>
  <c r="AF86" i="5" a="1"/>
  <c r="X87" i="5" a="1"/>
  <c r="Y87" i="5" a="1"/>
  <c r="Z87" i="5" a="1"/>
  <c r="AA87" i="5" a="1"/>
  <c r="AB87" i="5" a="1"/>
  <c r="AC87" i="5" a="1"/>
  <c r="AD87" i="5" a="1"/>
  <c r="AE87" i="5" a="1"/>
  <c r="AF87" i="5" a="1"/>
  <c r="X88" i="5" a="1"/>
  <c r="Y88" i="5" a="1"/>
  <c r="Z88" i="5" a="1"/>
  <c r="AA88" i="5" a="1"/>
  <c r="AB88" i="5" a="1"/>
  <c r="AC88" i="5" a="1"/>
  <c r="AD88" i="5" a="1"/>
  <c r="AE88" i="5" a="1"/>
  <c r="AF88" i="5" a="1"/>
  <c r="X89" i="5" a="1"/>
  <c r="Y89" i="5" a="1"/>
  <c r="Z89" i="5" a="1"/>
  <c r="AA89" i="5" a="1"/>
  <c r="AB89" i="5" a="1"/>
  <c r="AC89" i="5" a="1"/>
  <c r="AD89" i="5" a="1"/>
  <c r="AE89" i="5" a="1"/>
  <c r="AF89" i="5" a="1"/>
  <c r="X90" i="5" a="1"/>
  <c r="Y90" i="5" a="1"/>
  <c r="Z90" i="5" a="1"/>
  <c r="AA90" i="5" a="1"/>
  <c r="AB90" i="5" a="1"/>
  <c r="AC90" i="5" a="1"/>
  <c r="AD90" i="5" a="1"/>
  <c r="AE90" i="5" a="1"/>
  <c r="AF90" i="5" a="1"/>
  <c r="X91" i="5" a="1"/>
  <c r="Y91" i="5" a="1"/>
  <c r="Z91" i="5" a="1"/>
  <c r="AA91" i="5" a="1"/>
  <c r="AB91" i="5" a="1"/>
  <c r="AC91" i="5" a="1"/>
  <c r="AD91" i="5" a="1"/>
  <c r="AE91" i="5" a="1"/>
  <c r="AF91" i="5" a="1"/>
  <c r="X92" i="5" a="1"/>
  <c r="Y92" i="5" a="1"/>
  <c r="Z92" i="5" a="1"/>
  <c r="AA92" i="5" a="1"/>
  <c r="AB92" i="5" a="1"/>
  <c r="AC92" i="5" a="1"/>
  <c r="AD92" i="5" a="1"/>
  <c r="AE92" i="5" a="1"/>
  <c r="AF92" i="5" a="1"/>
  <c r="X93" i="5" a="1"/>
  <c r="Y93" i="5" a="1"/>
  <c r="Z93" i="5" a="1"/>
  <c r="AA93" i="5" a="1"/>
  <c r="AB93" i="5" a="1"/>
  <c r="AC93" i="5" a="1"/>
  <c r="AD93" i="5" a="1"/>
  <c r="AE93" i="5" a="1"/>
  <c r="AF93" i="5" a="1"/>
  <c r="X94" i="5" a="1"/>
  <c r="Y94" i="5" a="1"/>
  <c r="Z94" i="5" a="1"/>
  <c r="AA94" i="5" a="1"/>
  <c r="AB94" i="5" a="1"/>
  <c r="AC94" i="5" a="1"/>
  <c r="AD94" i="5" a="1"/>
  <c r="AE94" i="5" a="1"/>
  <c r="AF94" i="5" a="1"/>
  <c r="X95" i="5" a="1"/>
  <c r="Y95" i="5" a="1"/>
  <c r="Z95" i="5" a="1"/>
  <c r="AA95" i="5" a="1"/>
  <c r="AB95" i="5" a="1"/>
  <c r="AC95" i="5" a="1"/>
  <c r="AD95" i="5" a="1"/>
  <c r="AE95" i="5" a="1"/>
  <c r="AF95" i="5" a="1"/>
  <c r="X96" i="5" a="1"/>
  <c r="Y96" i="5" a="1"/>
  <c r="Z96" i="5" a="1"/>
  <c r="AA96" i="5" a="1"/>
  <c r="AB96" i="5" a="1"/>
  <c r="AC96" i="5" a="1"/>
  <c r="AD96" i="5" a="1"/>
  <c r="AE96" i="5" a="1"/>
  <c r="AF96" i="5" a="1"/>
  <c r="X97" i="5" a="1"/>
  <c r="Y97" i="5" a="1"/>
  <c r="Z97" i="5" a="1"/>
  <c r="AA97" i="5" a="1"/>
  <c r="AB97" i="5" a="1"/>
  <c r="AC97" i="5" a="1"/>
  <c r="AD97" i="5" a="1"/>
  <c r="AE97" i="5" a="1"/>
  <c r="AF97" i="5" a="1"/>
  <c r="X98" i="5" a="1"/>
  <c r="Y98" i="5" a="1"/>
  <c r="Z98" i="5" a="1"/>
  <c r="AA98" i="5" a="1"/>
  <c r="AB98" i="5" a="1"/>
  <c r="AC98" i="5" a="1"/>
  <c r="AD98" i="5" a="1"/>
  <c r="AE98" i="5" a="1"/>
  <c r="AF98" i="5" a="1"/>
  <c r="X99" i="5" a="1"/>
  <c r="Y99" i="5" a="1"/>
  <c r="Z99" i="5" a="1"/>
  <c r="AA99" i="5" a="1"/>
  <c r="AB99" i="5" a="1"/>
  <c r="AC99" i="5" a="1"/>
  <c r="AD99" i="5" a="1"/>
  <c r="AE99" i="5" a="1"/>
  <c r="AF99" i="5" a="1"/>
  <c r="X100" i="5" a="1"/>
  <c r="Y100" i="5" a="1"/>
  <c r="Z100" i="5" a="1"/>
  <c r="AA100" i="5" a="1"/>
  <c r="AB100" i="5" a="1"/>
  <c r="AC100" i="5" a="1"/>
  <c r="AD100" i="5" a="1"/>
  <c r="AE100" i="5" a="1"/>
  <c r="AF100" i="5" a="1"/>
  <c r="X101" i="5" a="1"/>
  <c r="Y101" i="5" a="1"/>
  <c r="Z101" i="5" a="1"/>
  <c r="AA101" i="5" a="1"/>
  <c r="AB101" i="5" a="1"/>
  <c r="AC101" i="5" a="1"/>
  <c r="AD101" i="5" a="1"/>
  <c r="AE101" i="5" a="1"/>
  <c r="AF101" i="5" a="1"/>
  <c r="X102" i="5" a="1"/>
  <c r="Y102" i="5" a="1"/>
  <c r="Z102" i="5" a="1"/>
  <c r="AA102" i="5" a="1"/>
  <c r="AB102" i="5" a="1"/>
  <c r="AC102" i="5" a="1"/>
  <c r="AD102" i="5" a="1"/>
  <c r="AE102" i="5" a="1"/>
  <c r="AF102" i="5" a="1"/>
  <c r="X103" i="5" a="1"/>
  <c r="Y103" i="5" a="1"/>
  <c r="Z103" i="5" a="1"/>
  <c r="AA103" i="5" a="1"/>
  <c r="AB103" i="5" a="1"/>
  <c r="AC103" i="5" a="1"/>
  <c r="AD103" i="5" a="1"/>
  <c r="AE103" i="5" a="1"/>
  <c r="AF103" i="5" a="1"/>
  <c r="X104" i="5" a="1"/>
  <c r="Y104" i="5" a="1"/>
  <c r="Z104" i="5" a="1"/>
  <c r="AA104" i="5" a="1"/>
  <c r="AB104" i="5" a="1"/>
  <c r="AC104" i="5" a="1"/>
  <c r="AD104" i="5" a="1"/>
  <c r="AE104" i="5" a="1"/>
  <c r="AF104" i="5" a="1"/>
  <c r="X105" i="5" a="1"/>
  <c r="Y105" i="5" a="1"/>
  <c r="Z105" i="5" a="1"/>
  <c r="AA105" i="5" a="1"/>
  <c r="AB105" i="5" a="1"/>
  <c r="AC105" i="5" a="1"/>
  <c r="AD105" i="5" a="1"/>
  <c r="AE105" i="5" a="1"/>
  <c r="AF105" i="5" a="1"/>
  <c r="X106" i="5" a="1"/>
  <c r="Y106" i="5" a="1"/>
  <c r="Z106" i="5" a="1"/>
  <c r="AA106" i="5" a="1"/>
  <c r="AB106" i="5" a="1"/>
  <c r="AC106" i="5" a="1"/>
  <c r="AD106" i="5" a="1"/>
  <c r="AE106" i="5" a="1"/>
  <c r="AF106" i="5" a="1"/>
  <c r="X107" i="5" a="1"/>
  <c r="Y107" i="5" a="1"/>
  <c r="Z107" i="5" a="1"/>
  <c r="AA107" i="5" a="1"/>
  <c r="AB107" i="5" a="1"/>
  <c r="AC107" i="5" a="1"/>
  <c r="AD107" i="5" a="1"/>
  <c r="AE107" i="5" a="1"/>
  <c r="AF107" i="5" a="1"/>
  <c r="X108" i="5" a="1"/>
  <c r="Y108" i="5" a="1"/>
  <c r="Z108" i="5" a="1"/>
  <c r="AA108" i="5" a="1"/>
  <c r="AB108" i="5" a="1"/>
  <c r="AC108" i="5" a="1"/>
  <c r="AD108" i="5" a="1"/>
  <c r="AE108" i="5" a="1"/>
  <c r="AF108" i="5" a="1"/>
  <c r="X109" i="5" a="1"/>
  <c r="Y109" i="5" a="1"/>
  <c r="Z109" i="5" a="1"/>
  <c r="AA109" i="5" a="1"/>
  <c r="AB109" i="5" a="1"/>
  <c r="AC109" i="5" a="1"/>
  <c r="AD109" i="5" a="1"/>
  <c r="AE109" i="5" a="1"/>
  <c r="AF109" i="5" a="1"/>
  <c r="X110" i="5" a="1"/>
  <c r="Y110" i="5" a="1"/>
  <c r="Z110" i="5" a="1"/>
  <c r="AA110" i="5" a="1"/>
  <c r="AB110" i="5" a="1"/>
  <c r="AC110" i="5" a="1"/>
  <c r="AD110" i="5" a="1"/>
  <c r="AE110" i="5" a="1"/>
  <c r="AF110" i="5" a="1"/>
  <c r="X111" i="5" a="1"/>
  <c r="Y111" i="5" a="1"/>
  <c r="Z111" i="5" a="1"/>
  <c r="AA111" i="5" a="1"/>
  <c r="AB111" i="5" a="1"/>
  <c r="AC111" i="5" a="1"/>
  <c r="AD111" i="5" a="1"/>
  <c r="AE111" i="5" a="1"/>
  <c r="AF111" i="5" a="1"/>
  <c r="X112" i="5" a="1"/>
  <c r="Y112" i="5" a="1"/>
  <c r="Z112" i="5" a="1"/>
  <c r="AA112" i="5" a="1"/>
  <c r="AB112" i="5" a="1"/>
  <c r="AC112" i="5" a="1"/>
  <c r="AD112" i="5" a="1"/>
  <c r="AE112" i="5" a="1"/>
  <c r="AF112" i="5" a="1"/>
  <c r="X113" i="5" a="1"/>
  <c r="Y113" i="5" a="1"/>
  <c r="Z113" i="5" a="1"/>
  <c r="AA113" i="5" a="1"/>
  <c r="AB113" i="5" a="1"/>
  <c r="AC113" i="5" a="1"/>
  <c r="AD113" i="5" a="1"/>
  <c r="AE113" i="5" a="1"/>
  <c r="AF113" i="5" a="1"/>
  <c r="X114" i="5" a="1"/>
  <c r="Y114" i="5" a="1"/>
  <c r="Z114" i="5" a="1"/>
  <c r="AA114" i="5" a="1"/>
  <c r="AB114" i="5" a="1"/>
  <c r="AC114" i="5" a="1"/>
  <c r="AD114" i="5" a="1"/>
  <c r="AE114" i="5" a="1"/>
  <c r="AF114" i="5" a="1"/>
  <c r="X115" i="5" a="1"/>
  <c r="Y115" i="5" a="1"/>
  <c r="Z115" i="5" a="1"/>
  <c r="AA115" i="5" a="1"/>
  <c r="AB115" i="5" a="1"/>
  <c r="AC115" i="5" a="1"/>
  <c r="AD115" i="5" a="1"/>
  <c r="AE115" i="5" a="1"/>
  <c r="AF115" i="5" a="1"/>
  <c r="X116" i="5" a="1"/>
  <c r="Y116" i="5" a="1"/>
  <c r="Z116" i="5" a="1"/>
  <c r="AA116" i="5" a="1"/>
  <c r="AB116" i="5" a="1"/>
  <c r="AC116" i="5" a="1"/>
  <c r="AD116" i="5" a="1"/>
  <c r="AE116" i="5" a="1"/>
  <c r="AF116" i="5" a="1"/>
  <c r="X117" i="5" a="1"/>
  <c r="Y117" i="5" a="1"/>
  <c r="Z117" i="5" a="1"/>
  <c r="AA117" i="5" a="1"/>
  <c r="AB117" i="5" a="1"/>
  <c r="AC117" i="5" a="1"/>
  <c r="AD117" i="5" a="1"/>
  <c r="AE117" i="5" a="1"/>
  <c r="AF117" i="5" a="1"/>
  <c r="X118" i="5" a="1"/>
  <c r="Y118" i="5" a="1"/>
  <c r="Z118" i="5" a="1"/>
  <c r="AA118" i="5" a="1"/>
  <c r="AB118" i="5" a="1"/>
  <c r="AC118" i="5" a="1"/>
  <c r="AD118" i="5" a="1"/>
  <c r="AE118" i="5" a="1"/>
  <c r="AF118" i="5" a="1"/>
  <c r="X119" i="5" a="1"/>
  <c r="Y119" i="5" a="1"/>
  <c r="Z119" i="5" a="1"/>
  <c r="AA119" i="5" a="1"/>
  <c r="AB119" i="5" a="1"/>
  <c r="AC119" i="5" a="1"/>
  <c r="AD119" i="5" a="1"/>
  <c r="AE119" i="5" a="1"/>
  <c r="AF119" i="5" a="1"/>
  <c r="X120" i="5" a="1"/>
  <c r="Y120" i="5" a="1"/>
  <c r="Z120" i="5" a="1"/>
  <c r="AA120" i="5" a="1"/>
  <c r="AB120" i="5" a="1"/>
  <c r="AC120" i="5" a="1"/>
  <c r="AD120" i="5" a="1"/>
  <c r="AE120" i="5" a="1"/>
  <c r="AF120" i="5" a="1"/>
  <c r="X121" i="5" a="1"/>
  <c r="Y121" i="5" a="1"/>
  <c r="Z121" i="5" a="1"/>
  <c r="AA121" i="5" a="1"/>
  <c r="AB121" i="5" a="1"/>
  <c r="AC121" i="5" a="1"/>
  <c r="AD121" i="5" a="1"/>
  <c r="AE121" i="5" a="1"/>
  <c r="AF121" i="5" a="1"/>
  <c r="X122" i="5" a="1"/>
  <c r="AU122" i="5" s="1"/>
  <c r="Y122" i="5" a="1"/>
  <c r="Z122" i="5" a="1"/>
  <c r="AA122" i="5" a="1"/>
  <c r="AB122" i="5" a="1"/>
  <c r="AC122" i="5" a="1"/>
  <c r="AD122" i="5" a="1"/>
  <c r="AE122" i="5" a="1"/>
  <c r="AF122" i="5" a="1"/>
  <c r="X123" i="5" a="1"/>
  <c r="Y123" i="5" a="1"/>
  <c r="Z123" i="5" a="1"/>
  <c r="AA123" i="5" a="1"/>
  <c r="AB123" i="5" a="1"/>
  <c r="AC123" i="5" a="1"/>
  <c r="AD123" i="5" a="1"/>
  <c r="AE123" i="5" a="1"/>
  <c r="AF123" i="5" a="1"/>
  <c r="X124" i="5" a="1"/>
  <c r="Y124" i="5" a="1"/>
  <c r="Z124" i="5" a="1"/>
  <c r="AA124" i="5" a="1"/>
  <c r="AB124" i="5" a="1"/>
  <c r="AC124" i="5" a="1"/>
  <c r="AD124" i="5" a="1"/>
  <c r="AE124" i="5" a="1"/>
  <c r="AF124" i="5" a="1"/>
  <c r="X125" i="5" a="1"/>
  <c r="Y125" i="5" a="1"/>
  <c r="Z125" i="5" a="1"/>
  <c r="AA125" i="5" a="1"/>
  <c r="AB125" i="5" a="1"/>
  <c r="AC125" i="5" a="1"/>
  <c r="AD125" i="5" a="1"/>
  <c r="AE125" i="5" a="1"/>
  <c r="AF125" i="5" a="1"/>
  <c r="X126" i="5" a="1"/>
  <c r="Y126" i="5" a="1"/>
  <c r="Z126" i="5" a="1"/>
  <c r="AA126" i="5" a="1"/>
  <c r="AB126" i="5" a="1"/>
  <c r="AC126" i="5" a="1"/>
  <c r="AD126" i="5" a="1"/>
  <c r="AE126" i="5" a="1"/>
  <c r="AF126" i="5" a="1"/>
  <c r="X127" i="5" a="1"/>
  <c r="Y127" i="5" a="1"/>
  <c r="Z127" i="5" a="1"/>
  <c r="AA127" i="5" a="1"/>
  <c r="AB127" i="5" a="1"/>
  <c r="AC127" i="5" a="1"/>
  <c r="AD127" i="5" a="1"/>
  <c r="AE127" i="5" a="1"/>
  <c r="AF127" i="5" a="1"/>
  <c r="X128" i="5" a="1"/>
  <c r="Y128" i="5" a="1"/>
  <c r="Z128" i="5" a="1"/>
  <c r="AA128" i="5" a="1"/>
  <c r="AB128" i="5" a="1"/>
  <c r="AC128" i="5" a="1"/>
  <c r="AD128" i="5" a="1"/>
  <c r="AE128" i="5" a="1"/>
  <c r="AF128" i="5" a="1"/>
  <c r="X129" i="5" a="1"/>
  <c r="Y129" i="5" a="1"/>
  <c r="Z129" i="5" a="1"/>
  <c r="AA129" i="5" a="1"/>
  <c r="AB129" i="5" a="1"/>
  <c r="AC129" i="5" a="1"/>
  <c r="AD129" i="5" a="1"/>
  <c r="AE129" i="5" a="1"/>
  <c r="AF129" i="5" a="1"/>
  <c r="X130" i="5" a="1"/>
  <c r="Y130" i="5" a="1"/>
  <c r="Z130" i="5" a="1"/>
  <c r="AA130" i="5" a="1"/>
  <c r="AB130" i="5" a="1"/>
  <c r="AC130" i="5" a="1"/>
  <c r="AD130" i="5" a="1"/>
  <c r="AE130" i="5" a="1"/>
  <c r="AF130" i="5" a="1"/>
  <c r="X131" i="5" a="1"/>
  <c r="Y131" i="5" a="1"/>
  <c r="Z131" i="5" a="1"/>
  <c r="AA131" i="5" a="1"/>
  <c r="AB131" i="5" a="1"/>
  <c r="AC131" i="5" a="1"/>
  <c r="AD131" i="5" a="1"/>
  <c r="AE131" i="5" a="1"/>
  <c r="AF131" i="5" a="1"/>
  <c r="X132" i="5" a="1"/>
  <c r="Y132" i="5" a="1"/>
  <c r="Z132" i="5" a="1"/>
  <c r="AA132" i="5" a="1"/>
  <c r="AB132" i="5" a="1"/>
  <c r="AC132" i="5" a="1"/>
  <c r="AD132" i="5" a="1"/>
  <c r="AE132" i="5" a="1"/>
  <c r="AF132" i="5" a="1"/>
  <c r="X133" i="5" a="1"/>
  <c r="Y133" i="5" a="1"/>
  <c r="Z133" i="5" a="1"/>
  <c r="AA133" i="5" a="1"/>
  <c r="AB133" i="5" a="1"/>
  <c r="AC133" i="5" a="1"/>
  <c r="AD133" i="5" a="1"/>
  <c r="AE133" i="5" a="1"/>
  <c r="AF133" i="5" a="1"/>
  <c r="X134" i="5" a="1"/>
  <c r="Y134" i="5" a="1"/>
  <c r="Z134" i="5" a="1"/>
  <c r="AA134" i="5" a="1"/>
  <c r="AB134" i="5" a="1"/>
  <c r="AC134" i="5" a="1"/>
  <c r="AD134" i="5" a="1"/>
  <c r="AE134" i="5" a="1"/>
  <c r="AF134" i="5" a="1"/>
  <c r="X135" i="5" a="1"/>
  <c r="Y135" i="5" a="1"/>
  <c r="Z135" i="5" a="1"/>
  <c r="AA135" i="5" a="1"/>
  <c r="AB135" i="5" a="1"/>
  <c r="AC135" i="5" a="1"/>
  <c r="AD135" i="5" a="1"/>
  <c r="AE135" i="5" a="1"/>
  <c r="AF135" i="5" a="1"/>
  <c r="X136" i="5" a="1"/>
  <c r="Y136" i="5" a="1"/>
  <c r="Z136" i="5" a="1"/>
  <c r="AA136" i="5" a="1"/>
  <c r="AB136" i="5" a="1"/>
  <c r="AC136" i="5" a="1"/>
  <c r="AD136" i="5" a="1"/>
  <c r="AE136" i="5" a="1"/>
  <c r="AF136" i="5" a="1"/>
  <c r="X137" i="5" a="1"/>
  <c r="Y137" i="5" a="1"/>
  <c r="Z137" i="5" a="1"/>
  <c r="AA137" i="5" a="1"/>
  <c r="AB137" i="5" a="1"/>
  <c r="AC137" i="5" a="1"/>
  <c r="AD137" i="5" a="1"/>
  <c r="AE137" i="5" a="1"/>
  <c r="AF137" i="5" a="1"/>
  <c r="X138" i="5" a="1"/>
  <c r="Y138" i="5" a="1"/>
  <c r="Z138" i="5" a="1"/>
  <c r="AA138" i="5" a="1"/>
  <c r="AB138" i="5" a="1"/>
  <c r="AC138" i="5" a="1"/>
  <c r="AD138" i="5" a="1"/>
  <c r="AE138" i="5" a="1"/>
  <c r="AF138" i="5" a="1"/>
  <c r="X139" i="5" a="1"/>
  <c r="Y139" i="5" a="1"/>
  <c r="Z139" i="5" a="1"/>
  <c r="AA139" i="5" a="1"/>
  <c r="AB139" i="5" a="1"/>
  <c r="AC139" i="5" a="1"/>
  <c r="AD139" i="5" a="1"/>
  <c r="AE139" i="5" a="1"/>
  <c r="AF139" i="5" a="1"/>
  <c r="X140" i="5" a="1"/>
  <c r="Y140" i="5" a="1"/>
  <c r="Z140" i="5" a="1"/>
  <c r="AA140" i="5" a="1"/>
  <c r="AB140" i="5" a="1"/>
  <c r="AC140" i="5" a="1"/>
  <c r="AD140" i="5" a="1"/>
  <c r="AE140" i="5" a="1"/>
  <c r="AF140" i="5" a="1"/>
  <c r="X141" i="5" a="1"/>
  <c r="Y141" i="5" a="1"/>
  <c r="Z141" i="5" a="1"/>
  <c r="AA141" i="5" a="1"/>
  <c r="AB141" i="5" a="1"/>
  <c r="AC141" i="5" a="1"/>
  <c r="AD141" i="5" a="1"/>
  <c r="AE141" i="5" a="1"/>
  <c r="AF141" i="5" a="1"/>
  <c r="X142" i="5" a="1"/>
  <c r="Y142" i="5" a="1"/>
  <c r="Z142" i="5" a="1"/>
  <c r="AA142" i="5" a="1"/>
  <c r="AB142" i="5" a="1"/>
  <c r="AC142" i="5" a="1"/>
  <c r="AD142" i="5" a="1"/>
  <c r="AE142" i="5" a="1"/>
  <c r="AF142" i="5" a="1"/>
  <c r="X143" i="5" a="1"/>
  <c r="Y143" i="5" a="1"/>
  <c r="Z143" i="5" a="1"/>
  <c r="AA143" i="5" a="1"/>
  <c r="AB143" i="5" a="1"/>
  <c r="AC143" i="5" a="1"/>
  <c r="AD143" i="5" a="1"/>
  <c r="AE143" i="5" a="1"/>
  <c r="AF143" i="5" a="1"/>
  <c r="X144" i="5" a="1"/>
  <c r="Y144" i="5" a="1"/>
  <c r="Z144" i="5" a="1"/>
  <c r="AA144" i="5" a="1"/>
  <c r="AB144" i="5" a="1"/>
  <c r="AC144" i="5" a="1"/>
  <c r="AD144" i="5" a="1"/>
  <c r="AE144" i="5" a="1"/>
  <c r="AF144" i="5" a="1"/>
  <c r="X145" i="5" a="1"/>
  <c r="Y145" i="5" a="1"/>
  <c r="Z145" i="5" a="1"/>
  <c r="AA145" i="5" a="1"/>
  <c r="AB145" i="5" a="1"/>
  <c r="AC145" i="5" a="1"/>
  <c r="AD145" i="5" a="1"/>
  <c r="AE145" i="5" a="1"/>
  <c r="AF145" i="5" a="1"/>
  <c r="X146" i="5" a="1"/>
  <c r="Y146" i="5" a="1"/>
  <c r="Z146" i="5" a="1"/>
  <c r="AA146" i="5" a="1"/>
  <c r="AB146" i="5" a="1"/>
  <c r="AC146" i="5" a="1"/>
  <c r="AD146" i="5" a="1"/>
  <c r="AE146" i="5" a="1"/>
  <c r="AF146" i="5" a="1"/>
  <c r="X147" i="5" a="1"/>
  <c r="Y147" i="5" a="1"/>
  <c r="Z147" i="5" a="1"/>
  <c r="AA147" i="5" a="1"/>
  <c r="AB147" i="5" a="1"/>
  <c r="AC147" i="5" a="1"/>
  <c r="AD147" i="5" a="1"/>
  <c r="AE147" i="5" a="1"/>
  <c r="AF147" i="5" a="1"/>
  <c r="X148" i="5" a="1"/>
  <c r="Y148" i="5" a="1"/>
  <c r="Z148" i="5" a="1"/>
  <c r="AA148" i="5" a="1"/>
  <c r="AB148" i="5" a="1"/>
  <c r="AC148" i="5" a="1"/>
  <c r="AD148" i="5" a="1"/>
  <c r="AE148" i="5" a="1"/>
  <c r="AF148" i="5" a="1"/>
  <c r="X149" i="5" a="1"/>
  <c r="Y149" i="5" a="1"/>
  <c r="Z149" i="5" a="1"/>
  <c r="AA149" i="5" a="1"/>
  <c r="AB149" i="5" a="1"/>
  <c r="AC149" i="5" a="1"/>
  <c r="AD149" i="5" a="1"/>
  <c r="AE149" i="5" a="1"/>
  <c r="AF149" i="5" a="1"/>
  <c r="X150" i="5" a="1"/>
  <c r="Y150" i="5" a="1"/>
  <c r="Z150" i="5" a="1"/>
  <c r="AA150" i="5" a="1"/>
  <c r="AB150" i="5" a="1"/>
  <c r="AC150" i="5" a="1"/>
  <c r="AD150" i="5" a="1"/>
  <c r="AE150" i="5" a="1"/>
  <c r="AF150" i="5" a="1"/>
  <c r="X151" i="5" a="1"/>
  <c r="Y151" i="5" a="1"/>
  <c r="Z151" i="5" a="1"/>
  <c r="AA151" i="5" a="1"/>
  <c r="AB151" i="5" a="1"/>
  <c r="AC151" i="5" a="1"/>
  <c r="AD151" i="5" a="1"/>
  <c r="AE151" i="5" a="1"/>
  <c r="AF151" i="5" a="1"/>
  <c r="X152" i="5" a="1"/>
  <c r="Y152" i="5" a="1"/>
  <c r="Z152" i="5" a="1"/>
  <c r="AA152" i="5" a="1"/>
  <c r="AB152" i="5" a="1"/>
  <c r="AC152" i="5" a="1"/>
  <c r="AD152" i="5" a="1"/>
  <c r="AE152" i="5" a="1"/>
  <c r="AF152" i="5" a="1"/>
  <c r="X153" i="5" a="1"/>
  <c r="Y153" i="5" a="1"/>
  <c r="Z153" i="5" a="1"/>
  <c r="AA153" i="5" a="1"/>
  <c r="AB153" i="5" a="1"/>
  <c r="AC153" i="5" a="1"/>
  <c r="AD153" i="5" a="1"/>
  <c r="AE153" i="5" a="1"/>
  <c r="AF153" i="5" a="1"/>
  <c r="X154" i="5" a="1"/>
  <c r="Y154" i="5" a="1"/>
  <c r="Z154" i="5" a="1"/>
  <c r="AA154" i="5" a="1"/>
  <c r="AB154" i="5" a="1"/>
  <c r="AC154" i="5" a="1"/>
  <c r="AD154" i="5" a="1"/>
  <c r="AE154" i="5" a="1"/>
  <c r="AF154" i="5" a="1"/>
  <c r="X155" i="5" a="1"/>
  <c r="Y155" i="5" a="1"/>
  <c r="Z155" i="5" a="1"/>
  <c r="AA155" i="5" a="1"/>
  <c r="AB155" i="5" a="1"/>
  <c r="AC155" i="5" a="1"/>
  <c r="AD155" i="5" a="1"/>
  <c r="AE155" i="5" a="1"/>
  <c r="AF155" i="5" a="1"/>
  <c r="X156" i="5" a="1"/>
  <c r="Y156" i="5" a="1"/>
  <c r="Z156" i="5" a="1"/>
  <c r="AA156" i="5" a="1"/>
  <c r="AB156" i="5" a="1"/>
  <c r="AC156" i="5" a="1"/>
  <c r="AD156" i="5" a="1"/>
  <c r="AE156" i="5" a="1"/>
  <c r="AF156" i="5" a="1"/>
  <c r="X157" i="5" a="1"/>
  <c r="Y157" i="5" a="1"/>
  <c r="Z157" i="5" a="1"/>
  <c r="AA157" i="5" a="1"/>
  <c r="AB157" i="5" a="1"/>
  <c r="AC157" i="5" a="1"/>
  <c r="AD157" i="5" a="1"/>
  <c r="AE157" i="5" a="1"/>
  <c r="AF157" i="5" a="1"/>
  <c r="X158" i="5" a="1"/>
  <c r="Y158" i="5" a="1"/>
  <c r="Z158" i="5" a="1"/>
  <c r="AA158" i="5" a="1"/>
  <c r="AB158" i="5" a="1"/>
  <c r="AC158" i="5" a="1"/>
  <c r="AD158" i="5" a="1"/>
  <c r="AE158" i="5" a="1"/>
  <c r="AF158" i="5" a="1"/>
  <c r="X159" i="5" a="1"/>
  <c r="Y159" i="5" a="1"/>
  <c r="Z159" i="5" a="1"/>
  <c r="AA159" i="5" a="1"/>
  <c r="AB159" i="5" a="1"/>
  <c r="AC159" i="5" a="1"/>
  <c r="AD159" i="5" a="1"/>
  <c r="AE159" i="5" a="1"/>
  <c r="AF159" i="5" a="1"/>
  <c r="X160" i="5" a="1"/>
  <c r="Y160" i="5" a="1"/>
  <c r="Z160" i="5" a="1"/>
  <c r="AA160" i="5" a="1"/>
  <c r="AB160" i="5" a="1"/>
  <c r="AC160" i="5" a="1"/>
  <c r="AD160" i="5" a="1"/>
  <c r="AE160" i="5" a="1"/>
  <c r="AF160" i="5" a="1"/>
  <c r="X161" i="5" a="1"/>
  <c r="Y161" i="5" a="1"/>
  <c r="Z161" i="5" a="1"/>
  <c r="AA161" i="5" a="1"/>
  <c r="AB161" i="5" a="1"/>
  <c r="AC161" i="5" a="1"/>
  <c r="AD161" i="5" a="1"/>
  <c r="AE161" i="5" a="1"/>
  <c r="AF161" i="5" a="1"/>
  <c r="X162" i="5" a="1"/>
  <c r="Y162" i="5" a="1"/>
  <c r="Z162" i="5" a="1"/>
  <c r="AA162" i="5" a="1"/>
  <c r="AB162" i="5" a="1"/>
  <c r="AC162" i="5" a="1"/>
  <c r="AD162" i="5" a="1"/>
  <c r="AE162" i="5" a="1"/>
  <c r="AF162" i="5" a="1"/>
  <c r="X163" i="5" a="1"/>
  <c r="Y163" i="5" a="1"/>
  <c r="Z163" i="5" a="1"/>
  <c r="AA163" i="5" a="1"/>
  <c r="AB163" i="5" a="1"/>
  <c r="AC163" i="5" a="1"/>
  <c r="AD163" i="5" a="1"/>
  <c r="AE163" i="5" a="1"/>
  <c r="AF163" i="5" a="1"/>
  <c r="X164" i="5" a="1"/>
  <c r="Y164" i="5" a="1"/>
  <c r="Z164" i="5" a="1"/>
  <c r="AA164" i="5" a="1"/>
  <c r="AB164" i="5" a="1"/>
  <c r="AC164" i="5" a="1"/>
  <c r="AD164" i="5" a="1"/>
  <c r="AE164" i="5" a="1"/>
  <c r="AF164" i="5" a="1"/>
  <c r="X165" i="5" a="1"/>
  <c r="Y165" i="5" a="1"/>
  <c r="Z165" i="5" a="1"/>
  <c r="AA165" i="5" a="1"/>
  <c r="AB165" i="5" a="1"/>
  <c r="AC165" i="5" a="1"/>
  <c r="AD165" i="5" a="1"/>
  <c r="AE165" i="5" a="1"/>
  <c r="AF165" i="5" a="1"/>
  <c r="X166" i="5" a="1"/>
  <c r="Y166" i="5" a="1"/>
  <c r="Z166" i="5" a="1"/>
  <c r="AA166" i="5" a="1"/>
  <c r="AB166" i="5" a="1"/>
  <c r="AC166" i="5" a="1"/>
  <c r="AD166" i="5" a="1"/>
  <c r="AE166" i="5" a="1"/>
  <c r="AF166" i="5" a="1"/>
  <c r="X167" i="5" a="1"/>
  <c r="Y167" i="5" a="1"/>
  <c r="Z167" i="5" a="1"/>
  <c r="AA167" i="5" a="1"/>
  <c r="AB167" i="5" a="1"/>
  <c r="AC167" i="5" a="1"/>
  <c r="AD167" i="5" a="1"/>
  <c r="AE167" i="5" a="1"/>
  <c r="AF167" i="5" a="1"/>
  <c r="X168" i="5" a="1"/>
  <c r="Y168" i="5" a="1"/>
  <c r="Z168" i="5" a="1"/>
  <c r="AA168" i="5" a="1"/>
  <c r="AB168" i="5" a="1"/>
  <c r="AC168" i="5" a="1"/>
  <c r="AD168" i="5" a="1"/>
  <c r="AE168" i="5" a="1"/>
  <c r="AF168" i="5" a="1"/>
  <c r="X169" i="5" a="1"/>
  <c r="Y169" i="5" a="1"/>
  <c r="Z169" i="5" a="1"/>
  <c r="AA169" i="5" a="1"/>
  <c r="AB169" i="5" a="1"/>
  <c r="AC169" i="5" a="1"/>
  <c r="AD169" i="5" a="1"/>
  <c r="AE169" i="5" a="1"/>
  <c r="AF169" i="5" a="1"/>
  <c r="X170" i="5" a="1"/>
  <c r="Y170" i="5" a="1"/>
  <c r="Z170" i="5" a="1"/>
  <c r="AA170" i="5" a="1"/>
  <c r="AB170" i="5" a="1"/>
  <c r="AC170" i="5" a="1"/>
  <c r="AD170" i="5" a="1"/>
  <c r="AE170" i="5" a="1"/>
  <c r="AF170" i="5" a="1"/>
  <c r="X171" i="5" a="1"/>
  <c r="Y171" i="5" a="1"/>
  <c r="Z171" i="5" a="1"/>
  <c r="AA171" i="5" a="1"/>
  <c r="AB171" i="5" a="1"/>
  <c r="AC171" i="5" a="1"/>
  <c r="AD171" i="5" a="1"/>
  <c r="AE171" i="5" a="1"/>
  <c r="AF171" i="5" a="1"/>
  <c r="X172" i="5" a="1"/>
  <c r="Y172" i="5" a="1"/>
  <c r="Z172" i="5" a="1"/>
  <c r="AA172" i="5" a="1"/>
  <c r="AB172" i="5" a="1"/>
  <c r="AC172" i="5" a="1"/>
  <c r="AD172" i="5" a="1"/>
  <c r="AE172" i="5" a="1"/>
  <c r="AF172" i="5" a="1"/>
  <c r="X173" i="5" a="1"/>
  <c r="Y173" i="5" a="1"/>
  <c r="Z173" i="5" a="1"/>
  <c r="AA173" i="5" a="1"/>
  <c r="AB173" i="5" a="1"/>
  <c r="AC173" i="5" a="1"/>
  <c r="AD173" i="5" a="1"/>
  <c r="AE173" i="5" a="1"/>
  <c r="AF173" i="5" a="1"/>
  <c r="X174" i="5" a="1"/>
  <c r="Y174" i="5" a="1"/>
  <c r="Z174" i="5" a="1"/>
  <c r="AA174" i="5" a="1"/>
  <c r="AB174" i="5" a="1"/>
  <c r="AC174" i="5" a="1"/>
  <c r="AD174" i="5" a="1"/>
  <c r="AE174" i="5" a="1"/>
  <c r="AF174" i="5" a="1"/>
  <c r="X175" i="5" a="1"/>
  <c r="Y175" i="5" a="1"/>
  <c r="Z175" i="5" a="1"/>
  <c r="AA175" i="5" a="1"/>
  <c r="AB175" i="5" a="1"/>
  <c r="AC175" i="5" a="1"/>
  <c r="AD175" i="5" a="1"/>
  <c r="AE175" i="5" a="1"/>
  <c r="AF175" i="5" a="1"/>
  <c r="X176" i="5" a="1"/>
  <c r="Y176" i="5" a="1"/>
  <c r="Z176" i="5" a="1"/>
  <c r="AA176" i="5" a="1"/>
  <c r="AB176" i="5" a="1"/>
  <c r="AC176" i="5" a="1"/>
  <c r="AD176" i="5" a="1"/>
  <c r="AE176" i="5" a="1"/>
  <c r="AF176" i="5" a="1"/>
  <c r="X177" i="5" a="1"/>
  <c r="Y177" i="5" a="1"/>
  <c r="Z177" i="5" a="1"/>
  <c r="AA177" i="5" a="1"/>
  <c r="AB177" i="5" a="1"/>
  <c r="AC177" i="5" a="1"/>
  <c r="AD177" i="5" a="1"/>
  <c r="AE177" i="5" a="1"/>
  <c r="AF177" i="5" a="1"/>
  <c r="X178" i="5" a="1"/>
  <c r="Y178" i="5" a="1"/>
  <c r="Z178" i="5" a="1"/>
  <c r="AA178" i="5" a="1"/>
  <c r="AB178" i="5" a="1"/>
  <c r="AC178" i="5" a="1"/>
  <c r="AD178" i="5" a="1"/>
  <c r="AE178" i="5" a="1"/>
  <c r="AF178" i="5" a="1"/>
  <c r="X179" i="5" a="1"/>
  <c r="Y179" i="5" a="1"/>
  <c r="Z179" i="5" a="1"/>
  <c r="AA179" i="5" a="1"/>
  <c r="AB179" i="5" a="1"/>
  <c r="AC179" i="5" a="1"/>
  <c r="AD179" i="5" a="1"/>
  <c r="AE179" i="5" a="1"/>
  <c r="AF179" i="5" a="1"/>
  <c r="X180" i="5" a="1"/>
  <c r="Y180" i="5" a="1"/>
  <c r="Z180" i="5" a="1"/>
  <c r="AA180" i="5" a="1"/>
  <c r="AB180" i="5" a="1"/>
  <c r="AC180" i="5" a="1"/>
  <c r="AD180" i="5" a="1"/>
  <c r="AE180" i="5" a="1"/>
  <c r="AF180" i="5" a="1"/>
  <c r="X181" i="5" a="1"/>
  <c r="Y181" i="5" a="1"/>
  <c r="Z181" i="5" a="1"/>
  <c r="AA181" i="5" a="1"/>
  <c r="AB181" i="5" a="1"/>
  <c r="AC181" i="5" a="1"/>
  <c r="AD181" i="5" a="1"/>
  <c r="AE181" i="5" a="1"/>
  <c r="AF181" i="5" a="1"/>
  <c r="X182" i="5" a="1"/>
  <c r="Y182" i="5" a="1"/>
  <c r="Z182" i="5" a="1"/>
  <c r="AA182" i="5" a="1"/>
  <c r="AB182" i="5" a="1"/>
  <c r="AC182" i="5" a="1"/>
  <c r="AD182" i="5" a="1"/>
  <c r="AE182" i="5" a="1"/>
  <c r="AF182" i="5" a="1"/>
  <c r="X183" i="5" a="1"/>
  <c r="Y183" i="5" a="1"/>
  <c r="Z183" i="5" a="1"/>
  <c r="AA183" i="5" a="1"/>
  <c r="AB183" i="5" a="1"/>
  <c r="AC183" i="5" a="1"/>
  <c r="AD183" i="5" a="1"/>
  <c r="AE183" i="5" a="1"/>
  <c r="AF183" i="5" a="1"/>
  <c r="X184" i="5" a="1"/>
  <c r="Y184" i="5" a="1"/>
  <c r="Z184" i="5" a="1"/>
  <c r="AA184" i="5" a="1"/>
  <c r="AB184" i="5" a="1"/>
  <c r="AC184" i="5" a="1"/>
  <c r="AD184" i="5" a="1"/>
  <c r="AE184" i="5" a="1"/>
  <c r="AF184" i="5" a="1"/>
  <c r="X185" i="5" a="1"/>
  <c r="Y185" i="5" a="1"/>
  <c r="Z185" i="5" a="1"/>
  <c r="AA185" i="5" a="1"/>
  <c r="AB185" i="5" a="1"/>
  <c r="AC185" i="5" a="1"/>
  <c r="AD185" i="5" a="1"/>
  <c r="AE185" i="5" a="1"/>
  <c r="AF185" i="5" a="1"/>
  <c r="X186" i="5" a="1"/>
  <c r="Y186" i="5" a="1"/>
  <c r="Z186" i="5" a="1"/>
  <c r="AA186" i="5" a="1"/>
  <c r="AB186" i="5" a="1"/>
  <c r="AC186" i="5" a="1"/>
  <c r="AD186" i="5" a="1"/>
  <c r="AE186" i="5" a="1"/>
  <c r="AF186" i="5" a="1"/>
  <c r="X187" i="5" a="1"/>
  <c r="Y187" i="5" a="1"/>
  <c r="Z187" i="5" a="1"/>
  <c r="AA187" i="5" a="1"/>
  <c r="AB187" i="5" a="1"/>
  <c r="AC187" i="5" a="1"/>
  <c r="AD187" i="5" a="1"/>
  <c r="AE187" i="5" a="1"/>
  <c r="AF187" i="5" a="1"/>
  <c r="X188" i="5" a="1"/>
  <c r="Y188" i="5" a="1"/>
  <c r="Z188" i="5" a="1"/>
  <c r="AA188" i="5" a="1"/>
  <c r="AB188" i="5" a="1"/>
  <c r="AC188" i="5" a="1"/>
  <c r="AD188" i="5" a="1"/>
  <c r="AE188" i="5" a="1"/>
  <c r="AF188" i="5" a="1"/>
  <c r="X189" i="5" a="1"/>
  <c r="Y189" i="5" a="1"/>
  <c r="Z189" i="5" a="1"/>
  <c r="AA189" i="5" a="1"/>
  <c r="AB189" i="5" a="1"/>
  <c r="AC189" i="5" a="1"/>
  <c r="AD189" i="5" a="1"/>
  <c r="AE189" i="5" a="1"/>
  <c r="AF189" i="5" a="1"/>
  <c r="X190" i="5" a="1"/>
  <c r="Y190" i="5" a="1"/>
  <c r="Z190" i="5" a="1"/>
  <c r="AA190" i="5" a="1"/>
  <c r="AB190" i="5" a="1"/>
  <c r="AC190" i="5" a="1"/>
  <c r="AD190" i="5" a="1"/>
  <c r="AE190" i="5" a="1"/>
  <c r="AF190" i="5" a="1"/>
  <c r="X191" i="5" a="1"/>
  <c r="Y191" i="5" a="1"/>
  <c r="Z191" i="5" a="1"/>
  <c r="AA191" i="5" a="1"/>
  <c r="AB191" i="5" a="1"/>
  <c r="AC191" i="5" a="1"/>
  <c r="AD191" i="5" a="1"/>
  <c r="AE191" i="5" a="1"/>
  <c r="AF191" i="5" a="1"/>
  <c r="X192" i="5" a="1"/>
  <c r="Y192" i="5" a="1"/>
  <c r="Z192" i="5" a="1"/>
  <c r="AA192" i="5" a="1"/>
  <c r="AB192" i="5" a="1"/>
  <c r="AC192" i="5" a="1"/>
  <c r="AD192" i="5" a="1"/>
  <c r="AE192" i="5" a="1"/>
  <c r="AF192" i="5" a="1"/>
  <c r="X193" i="5" a="1"/>
  <c r="Y193" i="5" a="1"/>
  <c r="Z193" i="5" a="1"/>
  <c r="AA193" i="5" a="1"/>
  <c r="AB193" i="5" a="1"/>
  <c r="AC193" i="5" a="1"/>
  <c r="AD193" i="5" a="1"/>
  <c r="AE193" i="5" a="1"/>
  <c r="AF193" i="5" a="1"/>
  <c r="X194" i="5" a="1"/>
  <c r="Y194" i="5" a="1"/>
  <c r="Z194" i="5" a="1"/>
  <c r="AA194" i="5" a="1"/>
  <c r="AB194" i="5" a="1"/>
  <c r="AC194" i="5" a="1"/>
  <c r="AD194" i="5" a="1"/>
  <c r="AE194" i="5" a="1"/>
  <c r="AF194" i="5" a="1"/>
  <c r="X195" i="5" a="1"/>
  <c r="Y195" i="5" a="1"/>
  <c r="Z195" i="5" a="1"/>
  <c r="AA195" i="5" a="1"/>
  <c r="AB195" i="5" a="1"/>
  <c r="AC195" i="5" a="1"/>
  <c r="AD195" i="5" a="1"/>
  <c r="AE195" i="5" a="1"/>
  <c r="AF195" i="5" a="1"/>
  <c r="X196" i="5" a="1"/>
  <c r="Y196" i="5" a="1"/>
  <c r="Z196" i="5" a="1"/>
  <c r="AA196" i="5" a="1"/>
  <c r="AB196" i="5" a="1"/>
  <c r="AC196" i="5" a="1"/>
  <c r="AD196" i="5" a="1"/>
  <c r="AE196" i="5" a="1"/>
  <c r="AF196" i="5" a="1"/>
  <c r="X197" i="5" a="1"/>
  <c r="Y197" i="5" a="1"/>
  <c r="Z197" i="5" a="1"/>
  <c r="AA197" i="5" a="1"/>
  <c r="AB197" i="5" a="1"/>
  <c r="AC197" i="5" a="1"/>
  <c r="AD197" i="5" a="1"/>
  <c r="AE197" i="5" a="1"/>
  <c r="AF197" i="5" a="1"/>
  <c r="X198" i="5" a="1"/>
  <c r="Y198" i="5" a="1"/>
  <c r="Z198" i="5" a="1"/>
  <c r="AA198" i="5" a="1"/>
  <c r="AB198" i="5" a="1"/>
  <c r="AC198" i="5" a="1"/>
  <c r="AD198" i="5" a="1"/>
  <c r="AE198" i="5" a="1"/>
  <c r="AF198" i="5" a="1"/>
  <c r="X199" i="5" a="1"/>
  <c r="Y199" i="5" a="1"/>
  <c r="Z199" i="5" a="1"/>
  <c r="AA199" i="5" a="1"/>
  <c r="AB199" i="5" a="1"/>
  <c r="AC199" i="5" a="1"/>
  <c r="AD199" i="5" a="1"/>
  <c r="AE199" i="5" a="1"/>
  <c r="AF199" i="5" a="1"/>
  <c r="X200" i="5" a="1"/>
  <c r="Y200" i="5" a="1"/>
  <c r="Z200" i="5" a="1"/>
  <c r="AA200" i="5" a="1"/>
  <c r="AB200" i="5" a="1"/>
  <c r="AC200" i="5" a="1"/>
  <c r="AD200" i="5" a="1"/>
  <c r="AE200" i="5" a="1"/>
  <c r="AF200" i="5" a="1"/>
  <c r="X201" i="5" a="1"/>
  <c r="Y201" i="5" a="1"/>
  <c r="Z201" i="5" a="1"/>
  <c r="AA201" i="5" a="1"/>
  <c r="AB201" i="5" a="1"/>
  <c r="AC201" i="5" a="1"/>
  <c r="AD201" i="5" a="1"/>
  <c r="AE201" i="5" a="1"/>
  <c r="AF201" i="5" a="1"/>
  <c r="X202" i="5" a="1"/>
  <c r="Y202" i="5" a="1"/>
  <c r="Z202" i="5" a="1"/>
  <c r="AA202" i="5" a="1"/>
  <c r="AB202" i="5" a="1"/>
  <c r="AC202" i="5" a="1"/>
  <c r="AD202" i="5" a="1"/>
  <c r="AE202" i="5" a="1"/>
  <c r="AF202" i="5" a="1"/>
  <c r="X203" i="5" a="1"/>
  <c r="AU203" i="5" s="1"/>
  <c r="Y203" i="5" a="1"/>
  <c r="Z203" i="5" a="1"/>
  <c r="AA203" i="5" a="1"/>
  <c r="AB203" i="5" a="1"/>
  <c r="AC203" i="5" a="1"/>
  <c r="AD203" i="5" a="1"/>
  <c r="AE203" i="5" a="1"/>
  <c r="AF203" i="5" a="1"/>
  <c r="X204" i="5" a="1"/>
  <c r="Y204" i="5" a="1"/>
  <c r="Z204" i="5" a="1"/>
  <c r="AA204" i="5" a="1"/>
  <c r="AB204" i="5" a="1"/>
  <c r="AC204" i="5" a="1"/>
  <c r="AD204" i="5" a="1"/>
  <c r="AE204" i="5" a="1"/>
  <c r="AF204" i="5" a="1"/>
  <c r="X205" i="5" a="1"/>
  <c r="AU205" i="5" s="1"/>
  <c r="Y205" i="5" a="1"/>
  <c r="Z205" i="5" a="1"/>
  <c r="AA205" i="5" a="1"/>
  <c r="AB205" i="5" a="1"/>
  <c r="AC205" i="5" a="1"/>
  <c r="AD205" i="5" a="1"/>
  <c r="AE205" i="5" a="1"/>
  <c r="AF205" i="5" a="1"/>
  <c r="AF67" i="5" a="1"/>
  <c r="AE67" i="5" a="1"/>
  <c r="AD67" i="5" a="1"/>
  <c r="AC67" i="5" a="1"/>
  <c r="AB67" i="5" a="1"/>
  <c r="AA67" i="5" a="1"/>
  <c r="Z67" i="5" a="1"/>
  <c r="Y67" i="5" a="1"/>
  <c r="X67" i="5" a="1"/>
  <c r="X27" i="5" a="1"/>
  <c r="Y27" i="5" a="1"/>
  <c r="Z27" i="5" a="1"/>
  <c r="AA27" i="5" a="1"/>
  <c r="AB27" i="5" a="1"/>
  <c r="AC27" i="5" a="1"/>
  <c r="AD27" i="5" a="1"/>
  <c r="AE27" i="5" a="1"/>
  <c r="AF27" i="5" a="1"/>
  <c r="X28" i="5" a="1"/>
  <c r="Y28" i="5" a="1"/>
  <c r="Z28" i="5" a="1"/>
  <c r="AA28" i="5" a="1"/>
  <c r="AB28" i="5" a="1"/>
  <c r="AC28" i="5" a="1"/>
  <c r="AD28" i="5" a="1"/>
  <c r="AE28" i="5" a="1"/>
  <c r="AF28" i="5" a="1"/>
  <c r="X29" i="5" a="1"/>
  <c r="Y29" i="5" a="1"/>
  <c r="Z29" i="5" a="1"/>
  <c r="AA29" i="5" a="1"/>
  <c r="AB29" i="5" a="1"/>
  <c r="AC29" i="5" a="1"/>
  <c r="AD29" i="5" a="1"/>
  <c r="AE29" i="5" a="1"/>
  <c r="AF29" i="5" a="1"/>
  <c r="X30" i="5" a="1"/>
  <c r="Y30" i="5" a="1"/>
  <c r="Z30" i="5" a="1"/>
  <c r="AA30" i="5" a="1"/>
  <c r="AB30" i="5" a="1"/>
  <c r="AC30" i="5" a="1"/>
  <c r="AD30" i="5" a="1"/>
  <c r="AE30" i="5" a="1"/>
  <c r="AF30" i="5" a="1"/>
  <c r="X31" i="5" a="1"/>
  <c r="Y31" i="5" a="1"/>
  <c r="Z31" i="5" a="1"/>
  <c r="AA31" i="5" a="1"/>
  <c r="AB31" i="5" a="1"/>
  <c r="AC31" i="5" a="1"/>
  <c r="AD31" i="5" a="1"/>
  <c r="AE31" i="5" a="1"/>
  <c r="AF31" i="5" a="1"/>
  <c r="X32" i="5" a="1"/>
  <c r="Y32" i="5" a="1"/>
  <c r="Z32" i="5" a="1"/>
  <c r="AA32" i="5" a="1"/>
  <c r="AB32" i="5" a="1"/>
  <c r="AC32" i="5" a="1"/>
  <c r="AD32" i="5" a="1"/>
  <c r="AE32" i="5" a="1"/>
  <c r="AF32" i="5" a="1"/>
  <c r="X33" i="5" a="1"/>
  <c r="Y33" i="5" a="1"/>
  <c r="Z33" i="5" a="1"/>
  <c r="AA33" i="5" a="1"/>
  <c r="AB33" i="5" a="1"/>
  <c r="AC33" i="5" a="1"/>
  <c r="AD33" i="5" a="1"/>
  <c r="AE33" i="5" a="1"/>
  <c r="AF33" i="5" a="1"/>
  <c r="X34" i="5" a="1"/>
  <c r="Y34" i="5" a="1"/>
  <c r="Z34" i="5" a="1"/>
  <c r="AA34" i="5" a="1"/>
  <c r="AB34" i="5" a="1"/>
  <c r="AC34" i="5" a="1"/>
  <c r="AD34" i="5" a="1"/>
  <c r="AE34" i="5" a="1"/>
  <c r="AF34" i="5" a="1"/>
  <c r="X35" i="5" a="1"/>
  <c r="Y35" i="5" a="1"/>
  <c r="Z35" i="5" a="1"/>
  <c r="AA35" i="5" a="1"/>
  <c r="AB35" i="5" a="1"/>
  <c r="AC35" i="5" a="1"/>
  <c r="AD35" i="5" a="1"/>
  <c r="AE35" i="5" a="1"/>
  <c r="AF35" i="5" a="1"/>
  <c r="X36" i="5" a="1"/>
  <c r="Y36" i="5" a="1"/>
  <c r="Z36" i="5" a="1"/>
  <c r="AA36" i="5" a="1"/>
  <c r="AB36" i="5" a="1"/>
  <c r="AC36" i="5" a="1"/>
  <c r="AD36" i="5" a="1"/>
  <c r="AE36" i="5" a="1"/>
  <c r="AF36" i="5" a="1"/>
  <c r="X37" i="5" a="1"/>
  <c r="Y37" i="5" a="1"/>
  <c r="Z37" i="5" a="1"/>
  <c r="AA37" i="5" a="1"/>
  <c r="AB37" i="5" a="1"/>
  <c r="AC37" i="5" a="1"/>
  <c r="AD37" i="5" a="1"/>
  <c r="AE37" i="5" a="1"/>
  <c r="AF37" i="5" a="1"/>
  <c r="X38" i="5" a="1"/>
  <c r="Y38" i="5" a="1"/>
  <c r="Z38" i="5" a="1"/>
  <c r="AA38" i="5" a="1"/>
  <c r="AB38" i="5" a="1"/>
  <c r="AC38" i="5" a="1"/>
  <c r="AD38" i="5" a="1"/>
  <c r="AE38" i="5" a="1"/>
  <c r="AF38" i="5" a="1"/>
  <c r="X39" i="5" a="1"/>
  <c r="Y39" i="5" a="1"/>
  <c r="Z39" i="5" a="1"/>
  <c r="AA39" i="5" a="1"/>
  <c r="AB39" i="5" a="1"/>
  <c r="AC39" i="5" a="1"/>
  <c r="AD39" i="5" a="1"/>
  <c r="AE39" i="5" a="1"/>
  <c r="AF39" i="5" a="1"/>
  <c r="X40" i="5" a="1"/>
  <c r="Y40" i="5" a="1"/>
  <c r="Z40" i="5" a="1"/>
  <c r="AA40" i="5" a="1"/>
  <c r="AB40" i="5" a="1"/>
  <c r="AC40" i="5" a="1"/>
  <c r="AD40" i="5" a="1"/>
  <c r="AE40" i="5" a="1"/>
  <c r="AF40" i="5" a="1"/>
  <c r="X41" i="5" a="1"/>
  <c r="Y41" i="5" a="1"/>
  <c r="Z41" i="5" a="1"/>
  <c r="AA41" i="5" a="1"/>
  <c r="AB41" i="5" a="1"/>
  <c r="AC41" i="5" a="1"/>
  <c r="AD41" i="5" a="1"/>
  <c r="AE41" i="5" a="1"/>
  <c r="AF41" i="5" a="1"/>
  <c r="X42" i="5" a="1"/>
  <c r="Y42" i="5" a="1"/>
  <c r="Z42" i="5" a="1"/>
  <c r="AA42" i="5" a="1"/>
  <c r="AB42" i="5" a="1"/>
  <c r="AC42" i="5" a="1"/>
  <c r="AD42" i="5" a="1"/>
  <c r="AE42" i="5" a="1"/>
  <c r="AF42" i="5" a="1"/>
  <c r="X43" i="5" a="1"/>
  <c r="Y43" i="5" a="1"/>
  <c r="Z43" i="5" a="1"/>
  <c r="AA43" i="5" a="1"/>
  <c r="AB43" i="5" a="1"/>
  <c r="AC43" i="5" a="1"/>
  <c r="AD43" i="5" a="1"/>
  <c r="AE43" i="5" a="1"/>
  <c r="AF43" i="5" a="1"/>
  <c r="X44" i="5" a="1"/>
  <c r="Y44" i="5" a="1"/>
  <c r="Z44" i="5" a="1"/>
  <c r="AA44" i="5" a="1"/>
  <c r="AB44" i="5" a="1"/>
  <c r="AC44" i="5" a="1"/>
  <c r="AD44" i="5" a="1"/>
  <c r="AE44" i="5" a="1"/>
  <c r="AF44" i="5" a="1"/>
  <c r="X45" i="5" a="1"/>
  <c r="Y45" i="5" a="1"/>
  <c r="Z45" i="5" a="1"/>
  <c r="AA45" i="5" a="1"/>
  <c r="AB45" i="5" a="1"/>
  <c r="AC45" i="5" a="1"/>
  <c r="AD45" i="5" a="1"/>
  <c r="AE45" i="5" a="1"/>
  <c r="AF45" i="5" a="1"/>
  <c r="X46" i="5" a="1"/>
  <c r="Y46" i="5" a="1"/>
  <c r="Z46" i="5" a="1"/>
  <c r="AA46" i="5" a="1"/>
  <c r="AB46" i="5" a="1"/>
  <c r="AC46" i="5" a="1"/>
  <c r="AD46" i="5" a="1"/>
  <c r="AE46" i="5" a="1"/>
  <c r="AF46" i="5" a="1"/>
  <c r="X47" i="5" a="1"/>
  <c r="Y47" i="5" a="1"/>
  <c r="Z47" i="5" a="1"/>
  <c r="AA47" i="5" a="1"/>
  <c r="AB47" i="5" a="1"/>
  <c r="AC47" i="5" a="1"/>
  <c r="AD47" i="5" a="1"/>
  <c r="AE47" i="5" a="1"/>
  <c r="AF47" i="5" a="1"/>
  <c r="X48" i="5" a="1"/>
  <c r="Y48" i="5" a="1"/>
  <c r="Z48" i="5" a="1"/>
  <c r="AA48" i="5" a="1"/>
  <c r="AB48" i="5" a="1"/>
  <c r="AC48" i="5" a="1"/>
  <c r="AD48" i="5" a="1"/>
  <c r="AE48" i="5" a="1"/>
  <c r="AF48" i="5" a="1"/>
  <c r="X49" i="5" a="1"/>
  <c r="Y49" i="5" a="1"/>
  <c r="Z49" i="5" a="1"/>
  <c r="AA49" i="5" a="1"/>
  <c r="AB49" i="5" a="1"/>
  <c r="AC49" i="5" a="1"/>
  <c r="AD49" i="5" a="1"/>
  <c r="AE49" i="5" a="1"/>
  <c r="AF49" i="5" a="1"/>
  <c r="X50" i="5" a="1"/>
  <c r="Y50" i="5" a="1"/>
  <c r="Z50" i="5" a="1"/>
  <c r="AA50" i="5" a="1"/>
  <c r="AB50" i="5" a="1"/>
  <c r="AC50" i="5" a="1"/>
  <c r="AD50" i="5" a="1"/>
  <c r="AE50" i="5" a="1"/>
  <c r="AF50" i="5" a="1"/>
  <c r="X51" i="5" a="1"/>
  <c r="Y51" i="5" a="1"/>
  <c r="Z51" i="5" a="1"/>
  <c r="AA51" i="5" a="1"/>
  <c r="AB51" i="5" a="1"/>
  <c r="AC51" i="5" a="1"/>
  <c r="AD51" i="5" a="1"/>
  <c r="AE51" i="5" a="1"/>
  <c r="AF51" i="5" a="1"/>
  <c r="X52" i="5" a="1"/>
  <c r="Y52" i="5" a="1"/>
  <c r="Z52" i="5" a="1"/>
  <c r="AA52" i="5" a="1"/>
  <c r="AB52" i="5" a="1"/>
  <c r="AC52" i="5" a="1"/>
  <c r="AD52" i="5" a="1"/>
  <c r="AE52" i="5" a="1"/>
  <c r="AF52" i="5" a="1"/>
  <c r="X53" i="5" a="1"/>
  <c r="Y53" i="5" a="1"/>
  <c r="Z53" i="5" a="1"/>
  <c r="AA53" i="5" a="1"/>
  <c r="AB53" i="5" a="1"/>
  <c r="AC53" i="5" a="1"/>
  <c r="AD53" i="5" a="1"/>
  <c r="AE53" i="5" a="1"/>
  <c r="AF53" i="5" a="1"/>
  <c r="X54" i="5" a="1"/>
  <c r="Y54" i="5" a="1"/>
  <c r="Z54" i="5" a="1"/>
  <c r="AA54" i="5" a="1"/>
  <c r="AB54" i="5" a="1"/>
  <c r="AC54" i="5" a="1"/>
  <c r="AD54" i="5" a="1"/>
  <c r="AE54" i="5" a="1"/>
  <c r="AF54" i="5" a="1"/>
  <c r="X55" i="5" a="1"/>
  <c r="Y55" i="5" a="1"/>
  <c r="Z55" i="5" a="1"/>
  <c r="AA55" i="5" a="1"/>
  <c r="AB55" i="5" a="1"/>
  <c r="AC55" i="5" a="1"/>
  <c r="AD55" i="5" a="1"/>
  <c r="AE55" i="5" a="1"/>
  <c r="AF55" i="5" a="1"/>
  <c r="X56" i="5" a="1"/>
  <c r="Y56" i="5" a="1"/>
  <c r="Z56" i="5" a="1"/>
  <c r="AA56" i="5" a="1"/>
  <c r="AB56" i="5" a="1"/>
  <c r="AC56" i="5" a="1"/>
  <c r="AD56" i="5" a="1"/>
  <c r="AE56" i="5" a="1"/>
  <c r="AF56" i="5" a="1"/>
  <c r="X57" i="5" a="1"/>
  <c r="Y57" i="5" a="1"/>
  <c r="Z57" i="5" a="1"/>
  <c r="AA57" i="5" a="1"/>
  <c r="AB57" i="5" a="1"/>
  <c r="AC57" i="5" a="1"/>
  <c r="AD57" i="5" a="1"/>
  <c r="AE57" i="5" a="1"/>
  <c r="AF57" i="5" a="1"/>
  <c r="X58" i="5" a="1"/>
  <c r="Y58" i="5" a="1"/>
  <c r="Z58" i="5" a="1"/>
  <c r="AA58" i="5" a="1"/>
  <c r="AB58" i="5" a="1"/>
  <c r="AC58" i="5" a="1"/>
  <c r="AD58" i="5" a="1"/>
  <c r="AE58" i="5" a="1"/>
  <c r="AF58" i="5" a="1"/>
  <c r="X59" i="5" a="1"/>
  <c r="Y59" i="5" a="1"/>
  <c r="Z59" i="5" a="1"/>
  <c r="AA59" i="5" a="1"/>
  <c r="AB59" i="5" a="1"/>
  <c r="AC59" i="5" a="1"/>
  <c r="AD59" i="5" a="1"/>
  <c r="AE59" i="5" a="1"/>
  <c r="AF59" i="5" a="1"/>
  <c r="X60" i="5" a="1"/>
  <c r="Y60" i="5" a="1"/>
  <c r="Z60" i="5" a="1"/>
  <c r="AA60" i="5" a="1"/>
  <c r="AB60" i="5" a="1"/>
  <c r="AC60" i="5" a="1"/>
  <c r="AD60" i="5" a="1"/>
  <c r="AE60" i="5" a="1"/>
  <c r="AF60" i="5" a="1"/>
  <c r="X61" i="5" a="1"/>
  <c r="Y61" i="5" a="1"/>
  <c r="Z61" i="5" a="1"/>
  <c r="AA61" i="5" a="1"/>
  <c r="AB61" i="5" a="1"/>
  <c r="AC61" i="5" a="1"/>
  <c r="AD61" i="5" a="1"/>
  <c r="AE61" i="5" a="1"/>
  <c r="AF61" i="5" a="1"/>
  <c r="X62" i="5" a="1"/>
  <c r="Y62" i="5" a="1"/>
  <c r="Z62" i="5" a="1"/>
  <c r="AA62" i="5" a="1"/>
  <c r="AB62" i="5" a="1"/>
  <c r="AC62" i="5" a="1"/>
  <c r="AD62" i="5" a="1"/>
  <c r="AE62" i="5" a="1"/>
  <c r="AF62" i="5" a="1"/>
  <c r="X63" i="5" a="1"/>
  <c r="Y63" i="5" a="1"/>
  <c r="Z63" i="5" a="1"/>
  <c r="AA63" i="5" a="1"/>
  <c r="AB63" i="5" a="1"/>
  <c r="AC63" i="5" a="1"/>
  <c r="AD63" i="5" a="1"/>
  <c r="AE63" i="5" a="1"/>
  <c r="AF63" i="5" a="1"/>
  <c r="X64" i="5" a="1"/>
  <c r="Y64" i="5" a="1"/>
  <c r="Z64" i="5" a="1"/>
  <c r="AA64" i="5" a="1"/>
  <c r="AB64" i="5" a="1"/>
  <c r="AC64" i="5" a="1"/>
  <c r="AD64" i="5" a="1"/>
  <c r="AE64" i="5" a="1"/>
  <c r="AF64" i="5" a="1"/>
  <c r="Y26" i="5" a="1"/>
  <c r="Z26" i="5" a="1"/>
  <c r="AA26" i="5" a="1"/>
  <c r="AB26" i="5" a="1"/>
  <c r="AC26" i="5" a="1"/>
  <c r="AD26" i="5" a="1"/>
  <c r="AE26" i="5" a="1"/>
  <c r="AF26" i="5" a="1"/>
  <c r="X26" i="5" a="1"/>
  <c r="AH255" i="5"/>
  <c r="AT255" i="5" s="1"/>
  <c r="AG255" i="5"/>
  <c r="AS255" i="5" s="1"/>
  <c r="AH254" i="5"/>
  <c r="AT254" i="5" s="1"/>
  <c r="AG254" i="5"/>
  <c r="AS254" i="5" s="1"/>
  <c r="AH253" i="5"/>
  <c r="AT253" i="5" s="1"/>
  <c r="AG253" i="5"/>
  <c r="AS253" i="5" s="1"/>
  <c r="AH252" i="5"/>
  <c r="AT252" i="5" s="1"/>
  <c r="AG252" i="5"/>
  <c r="AS252" i="5" s="1"/>
  <c r="AH251" i="5"/>
  <c r="AT251" i="5" s="1"/>
  <c r="AG251" i="5"/>
  <c r="AS251" i="5" s="1"/>
  <c r="AH250" i="5"/>
  <c r="AT250" i="5" s="1"/>
  <c r="AG250" i="5"/>
  <c r="AS250" i="5" s="1"/>
  <c r="AH249" i="5"/>
  <c r="AT249" i="5" s="1"/>
  <c r="AG249" i="5"/>
  <c r="AS249" i="5" s="1"/>
  <c r="AH248" i="5"/>
  <c r="AT248" i="5" s="1"/>
  <c r="AG248" i="5"/>
  <c r="AS248" i="5" s="1"/>
  <c r="AH247" i="5"/>
  <c r="AT247" i="5" s="1"/>
  <c r="AG247" i="5"/>
  <c r="AS247" i="5" s="1"/>
  <c r="AH246" i="5"/>
  <c r="AT246" i="5" s="1"/>
  <c r="AG246" i="5"/>
  <c r="AS246" i="5" s="1"/>
  <c r="AH245" i="5"/>
  <c r="AT245" i="5" s="1"/>
  <c r="AG245" i="5"/>
  <c r="AS245" i="5" s="1"/>
  <c r="AH244" i="5"/>
  <c r="AT244" i="5" s="1"/>
  <c r="AG244" i="5"/>
  <c r="AS244" i="5" s="1"/>
  <c r="AH243" i="5"/>
  <c r="AT243" i="5" s="1"/>
  <c r="AG243" i="5"/>
  <c r="AS243" i="5" s="1"/>
  <c r="AH242" i="5"/>
  <c r="AT242" i="5" s="1"/>
  <c r="AG242" i="5"/>
  <c r="AS242" i="5" s="1"/>
  <c r="AH241" i="5"/>
  <c r="AT241" i="5" s="1"/>
  <c r="AG241" i="5"/>
  <c r="AS241" i="5" s="1"/>
  <c r="AH240" i="5"/>
  <c r="AT240" i="5" s="1"/>
  <c r="AG240" i="5"/>
  <c r="AS240" i="5" s="1"/>
  <c r="AH239" i="5"/>
  <c r="AT239" i="5" s="1"/>
  <c r="AG239" i="5"/>
  <c r="AS239" i="5" s="1"/>
  <c r="AH238" i="5"/>
  <c r="AT238" i="5" s="1"/>
  <c r="AG238" i="5"/>
  <c r="AS238" i="5" s="1"/>
  <c r="AH237" i="5"/>
  <c r="AT237" i="5" s="1"/>
  <c r="AG237" i="5"/>
  <c r="AS237" i="5" s="1"/>
  <c r="AH236" i="5"/>
  <c r="AT236" i="5" s="1"/>
  <c r="AG236" i="5"/>
  <c r="AS236" i="5" s="1"/>
  <c r="AH235" i="5"/>
  <c r="AT235" i="5" s="1"/>
  <c r="AG235" i="5"/>
  <c r="AS235" i="5" s="1"/>
  <c r="AH234" i="5"/>
  <c r="AT234" i="5" s="1"/>
  <c r="AG234" i="5"/>
  <c r="AS234" i="5" s="1"/>
  <c r="AH233" i="5"/>
  <c r="AT233" i="5" s="1"/>
  <c r="AG233" i="5"/>
  <c r="AS233" i="5" s="1"/>
  <c r="AH232" i="5"/>
  <c r="AT232" i="5" s="1"/>
  <c r="AG232" i="5"/>
  <c r="AS232" i="5" s="1"/>
  <c r="AH231" i="5"/>
  <c r="AT231" i="5" s="1"/>
  <c r="AG231" i="5"/>
  <c r="AS231" i="5" s="1"/>
  <c r="AH230" i="5"/>
  <c r="AG230" i="5"/>
  <c r="AH229" i="5"/>
  <c r="AG229" i="5"/>
  <c r="AH228" i="5"/>
  <c r="AG228" i="5"/>
  <c r="AH227" i="5"/>
  <c r="AG227" i="5"/>
  <c r="AH226" i="5"/>
  <c r="AG226" i="5"/>
  <c r="AH225" i="5"/>
  <c r="AG225" i="5"/>
  <c r="AH224" i="5"/>
  <c r="AG224" i="5"/>
  <c r="AH223" i="5"/>
  <c r="AG223" i="5"/>
  <c r="AH222" i="5"/>
  <c r="AG222" i="5"/>
  <c r="AH221" i="5"/>
  <c r="AG221" i="5"/>
  <c r="AH220" i="5"/>
  <c r="AG220" i="5"/>
  <c r="AH219" i="5"/>
  <c r="AG219" i="5"/>
  <c r="AH218" i="5"/>
  <c r="AG218" i="5"/>
  <c r="AH217" i="5"/>
  <c r="AG217" i="5"/>
  <c r="AH216" i="5"/>
  <c r="AG216" i="5"/>
  <c r="AH215" i="5"/>
  <c r="AG215" i="5"/>
  <c r="AH214" i="5"/>
  <c r="AT214" i="5" s="1"/>
  <c r="AG214" i="5"/>
  <c r="AS214" i="5" s="1"/>
  <c r="AH213" i="5"/>
  <c r="AG213" i="5"/>
  <c r="AH212" i="5"/>
  <c r="AG212" i="5"/>
  <c r="AH211" i="5"/>
  <c r="AG211" i="5"/>
  <c r="AH210" i="5"/>
  <c r="AG210" i="5"/>
  <c r="AG68" i="5"/>
  <c r="AH68" i="5"/>
  <c r="AG69" i="5"/>
  <c r="AH69" i="5"/>
  <c r="AG70" i="5"/>
  <c r="AH70" i="5"/>
  <c r="AG71" i="5"/>
  <c r="AH71" i="5"/>
  <c r="AG72" i="5"/>
  <c r="AH72" i="5"/>
  <c r="AG73" i="5"/>
  <c r="AH73" i="5"/>
  <c r="AG74" i="5"/>
  <c r="AH74" i="5"/>
  <c r="AG75" i="5"/>
  <c r="AS75" i="5" s="1"/>
  <c r="AH75" i="5"/>
  <c r="AT75" i="5" s="1"/>
  <c r="AG76" i="5"/>
  <c r="AH76" i="5"/>
  <c r="AG77" i="5"/>
  <c r="AH77" i="5"/>
  <c r="AG78" i="5"/>
  <c r="AH78" i="5"/>
  <c r="AG79" i="5"/>
  <c r="AH79" i="5"/>
  <c r="AG80" i="5"/>
  <c r="AH80" i="5"/>
  <c r="AG81" i="5"/>
  <c r="AH81" i="5"/>
  <c r="AG82" i="5"/>
  <c r="AH82" i="5"/>
  <c r="AG83" i="5"/>
  <c r="AH83" i="5"/>
  <c r="AG84" i="5"/>
  <c r="AH84" i="5"/>
  <c r="AG85" i="5"/>
  <c r="AH85" i="5"/>
  <c r="AG86" i="5"/>
  <c r="AH86" i="5"/>
  <c r="AG87" i="5"/>
  <c r="AH87" i="5"/>
  <c r="AG88" i="5"/>
  <c r="AH88" i="5"/>
  <c r="AG89" i="5"/>
  <c r="AH89" i="5"/>
  <c r="AG90" i="5"/>
  <c r="AH90" i="5"/>
  <c r="AG91" i="5"/>
  <c r="AH91" i="5"/>
  <c r="AG92" i="5"/>
  <c r="AH92" i="5"/>
  <c r="AG93" i="5"/>
  <c r="AH93" i="5"/>
  <c r="AG94" i="5"/>
  <c r="AH94" i="5"/>
  <c r="AG95" i="5"/>
  <c r="AH95" i="5"/>
  <c r="AG96" i="5"/>
  <c r="AH96" i="5"/>
  <c r="AG97" i="5"/>
  <c r="AH97" i="5"/>
  <c r="AG98" i="5"/>
  <c r="AH98" i="5"/>
  <c r="AG99" i="5"/>
  <c r="AH99" i="5"/>
  <c r="AG100" i="5"/>
  <c r="AH100" i="5"/>
  <c r="AG101" i="5"/>
  <c r="AH101" i="5"/>
  <c r="AG102" i="5"/>
  <c r="AH102" i="5"/>
  <c r="AG103" i="5"/>
  <c r="AH103" i="5"/>
  <c r="AG104" i="5"/>
  <c r="AH104" i="5"/>
  <c r="AG105" i="5"/>
  <c r="AH105" i="5"/>
  <c r="AG106" i="5"/>
  <c r="AH106" i="5"/>
  <c r="AG107" i="5"/>
  <c r="AH107" i="5"/>
  <c r="AG108" i="5"/>
  <c r="AH108" i="5"/>
  <c r="AG109" i="5"/>
  <c r="AH109" i="5"/>
  <c r="AG110" i="5"/>
  <c r="AH110" i="5"/>
  <c r="AG111" i="5"/>
  <c r="AH111" i="5"/>
  <c r="AG112" i="5"/>
  <c r="AH112" i="5"/>
  <c r="AG113" i="5"/>
  <c r="AH113" i="5"/>
  <c r="AG114" i="5"/>
  <c r="AH114" i="5"/>
  <c r="AG115" i="5"/>
  <c r="AS115" i="5" s="1"/>
  <c r="AH115" i="5"/>
  <c r="AT115" i="5" s="1"/>
  <c r="AG116" i="5"/>
  <c r="AS116" i="5" s="1"/>
  <c r="AH116" i="5"/>
  <c r="AT116" i="5" s="1"/>
  <c r="AG117" i="5"/>
  <c r="AH117" i="5"/>
  <c r="AG118" i="5"/>
  <c r="AH118" i="5"/>
  <c r="AG119" i="5"/>
  <c r="AH119" i="5"/>
  <c r="AG120" i="5"/>
  <c r="AH120" i="5"/>
  <c r="AG121" i="5"/>
  <c r="AH121" i="5"/>
  <c r="AG122" i="5"/>
  <c r="AS122" i="5" s="1"/>
  <c r="AH122" i="5"/>
  <c r="AT122" i="5" s="1"/>
  <c r="AG123" i="5"/>
  <c r="AH123" i="5"/>
  <c r="AG124" i="5"/>
  <c r="AH124" i="5"/>
  <c r="AG125" i="5"/>
  <c r="AH125" i="5"/>
  <c r="AG126" i="5"/>
  <c r="AH126" i="5"/>
  <c r="AG127" i="5"/>
  <c r="AH127" i="5"/>
  <c r="AG128" i="5"/>
  <c r="AH128" i="5"/>
  <c r="AG129" i="5"/>
  <c r="AH129" i="5"/>
  <c r="AG130" i="5"/>
  <c r="AH130" i="5"/>
  <c r="AG131" i="5"/>
  <c r="AH131" i="5"/>
  <c r="AG132" i="5"/>
  <c r="AH132" i="5"/>
  <c r="AG133" i="5"/>
  <c r="AH133" i="5"/>
  <c r="AG134" i="5"/>
  <c r="AH134" i="5"/>
  <c r="AG135" i="5"/>
  <c r="AH135" i="5"/>
  <c r="AG136" i="5"/>
  <c r="AH136" i="5"/>
  <c r="AG137" i="5"/>
  <c r="AH137" i="5"/>
  <c r="AG138" i="5"/>
  <c r="AH138" i="5"/>
  <c r="AG139" i="5"/>
  <c r="AH139" i="5"/>
  <c r="AG140" i="5"/>
  <c r="AH140" i="5"/>
  <c r="AG141" i="5"/>
  <c r="AH141" i="5"/>
  <c r="AG142" i="5"/>
  <c r="AH142" i="5"/>
  <c r="AG143" i="5"/>
  <c r="AH143" i="5"/>
  <c r="AG144" i="5"/>
  <c r="AH144" i="5"/>
  <c r="AG145" i="5"/>
  <c r="AH145" i="5"/>
  <c r="AG146" i="5"/>
  <c r="AH146" i="5"/>
  <c r="AG147" i="5"/>
  <c r="AH147" i="5"/>
  <c r="AG148" i="5"/>
  <c r="AH148" i="5"/>
  <c r="AG149" i="5"/>
  <c r="AH149" i="5"/>
  <c r="AG150" i="5"/>
  <c r="AH150" i="5"/>
  <c r="AG151" i="5"/>
  <c r="AH151" i="5"/>
  <c r="AG152" i="5"/>
  <c r="AH152" i="5"/>
  <c r="AG153" i="5"/>
  <c r="AH153" i="5"/>
  <c r="AG154" i="5"/>
  <c r="AH154" i="5"/>
  <c r="AG155" i="5"/>
  <c r="AH155" i="5"/>
  <c r="AG156" i="5"/>
  <c r="AH156" i="5"/>
  <c r="AG157" i="5"/>
  <c r="AH157" i="5"/>
  <c r="AG158" i="5"/>
  <c r="AH158" i="5"/>
  <c r="AG159" i="5"/>
  <c r="AH159" i="5"/>
  <c r="AG160" i="5"/>
  <c r="AH160" i="5"/>
  <c r="AG161" i="5"/>
  <c r="AH161" i="5"/>
  <c r="AG162" i="5"/>
  <c r="AH162" i="5"/>
  <c r="AG163" i="5"/>
  <c r="AH163" i="5"/>
  <c r="AG164" i="5"/>
  <c r="AH164" i="5"/>
  <c r="AG165" i="5"/>
  <c r="AH165" i="5"/>
  <c r="AG166" i="5"/>
  <c r="AH166" i="5"/>
  <c r="AG167" i="5"/>
  <c r="AH167" i="5"/>
  <c r="AG168" i="5"/>
  <c r="AH168" i="5"/>
  <c r="AG169" i="5"/>
  <c r="AH169" i="5"/>
  <c r="AG170" i="5"/>
  <c r="AH170" i="5"/>
  <c r="AG171" i="5"/>
  <c r="AH171" i="5"/>
  <c r="AG172" i="5"/>
  <c r="AH172" i="5"/>
  <c r="AG173" i="5"/>
  <c r="AH173" i="5"/>
  <c r="AG174" i="5"/>
  <c r="AH174" i="5"/>
  <c r="AG175" i="5"/>
  <c r="AH175" i="5"/>
  <c r="AG176" i="5"/>
  <c r="AH176" i="5"/>
  <c r="AG177" i="5"/>
  <c r="AH177" i="5"/>
  <c r="AG178" i="5"/>
  <c r="AH178" i="5"/>
  <c r="AG179" i="5"/>
  <c r="AH179" i="5"/>
  <c r="AG180" i="5"/>
  <c r="AH180" i="5"/>
  <c r="AG181" i="5"/>
  <c r="AH181" i="5"/>
  <c r="AG182" i="5"/>
  <c r="AH182" i="5"/>
  <c r="AG183" i="5"/>
  <c r="AH183" i="5"/>
  <c r="AG184" i="5"/>
  <c r="AH184" i="5"/>
  <c r="AG185" i="5"/>
  <c r="AH185" i="5"/>
  <c r="AG186" i="5"/>
  <c r="AH186" i="5"/>
  <c r="AG187" i="5"/>
  <c r="AH187" i="5"/>
  <c r="AG188" i="5"/>
  <c r="AH188" i="5"/>
  <c r="AG189" i="5"/>
  <c r="AS189" i="5" s="1"/>
  <c r="AH189" i="5"/>
  <c r="AT189" i="5" s="1"/>
  <c r="AG190" i="5"/>
  <c r="AS190" i="5" s="1"/>
  <c r="AH190" i="5"/>
  <c r="AT190" i="5" s="1"/>
  <c r="AG191" i="5"/>
  <c r="AS191" i="5" s="1"/>
  <c r="AH191" i="5"/>
  <c r="AT191" i="5" s="1"/>
  <c r="AG192" i="5"/>
  <c r="AH192" i="5"/>
  <c r="AG193" i="5"/>
  <c r="AH193" i="5"/>
  <c r="AG194" i="5"/>
  <c r="AS194" i="5" s="1"/>
  <c r="AH194" i="5"/>
  <c r="AT194" i="5" s="1"/>
  <c r="AG195" i="5"/>
  <c r="AH195" i="5"/>
  <c r="AG196" i="5"/>
  <c r="AH196" i="5"/>
  <c r="AG197" i="5"/>
  <c r="AH197" i="5"/>
  <c r="AG198" i="5"/>
  <c r="AH198" i="5"/>
  <c r="AG199" i="5"/>
  <c r="AH199" i="5"/>
  <c r="AG200" i="5"/>
  <c r="AH200" i="5"/>
  <c r="AG201" i="5"/>
  <c r="AH201" i="5"/>
  <c r="AG202" i="5"/>
  <c r="AS202" i="5" s="1"/>
  <c r="AH202" i="5"/>
  <c r="AT202" i="5" s="1"/>
  <c r="AG203" i="5"/>
  <c r="AS203" i="5" s="1"/>
  <c r="AH203" i="5"/>
  <c r="AT203" i="5" s="1"/>
  <c r="AG204" i="5"/>
  <c r="AS204" i="5" s="1"/>
  <c r="AH204" i="5"/>
  <c r="AT204" i="5" s="1"/>
  <c r="AG205" i="5"/>
  <c r="AS205" i="5" s="1"/>
  <c r="AH205" i="5"/>
  <c r="AT205" i="5" s="1"/>
  <c r="AH67" i="5"/>
  <c r="AG67" i="5"/>
  <c r="AG27" i="5"/>
  <c r="AH27" i="5"/>
  <c r="AG28" i="5"/>
  <c r="AH28" i="5"/>
  <c r="AG29" i="5"/>
  <c r="AH29" i="5"/>
  <c r="AG30" i="5"/>
  <c r="AH30" i="5"/>
  <c r="AG31" i="5"/>
  <c r="AH31" i="5"/>
  <c r="AG32" i="5"/>
  <c r="AH32" i="5"/>
  <c r="AG33" i="5"/>
  <c r="AH33" i="5"/>
  <c r="AG34" i="5"/>
  <c r="AH34" i="5"/>
  <c r="AG35" i="5"/>
  <c r="AH35" i="5"/>
  <c r="AG36" i="5"/>
  <c r="AH36" i="5"/>
  <c r="AG37" i="5"/>
  <c r="AH37" i="5"/>
  <c r="AG38" i="5"/>
  <c r="AH38" i="5"/>
  <c r="AG39" i="5"/>
  <c r="AH39" i="5"/>
  <c r="AG40" i="5"/>
  <c r="AH40" i="5"/>
  <c r="AG41" i="5"/>
  <c r="AS41" i="5" s="1"/>
  <c r="AH41" i="5"/>
  <c r="AT41" i="5" s="1"/>
  <c r="AG42" i="5"/>
  <c r="AS42" i="5" s="1"/>
  <c r="AH42" i="5"/>
  <c r="AT42" i="5" s="1"/>
  <c r="AG43" i="5"/>
  <c r="AS43" i="5" s="1"/>
  <c r="AH43" i="5"/>
  <c r="AT43" i="5" s="1"/>
  <c r="AG44" i="5"/>
  <c r="AH44" i="5"/>
  <c r="AG45" i="5"/>
  <c r="AH45" i="5"/>
  <c r="AG46" i="5"/>
  <c r="AH46" i="5"/>
  <c r="AG47" i="5"/>
  <c r="AH47" i="5"/>
  <c r="AG48" i="5"/>
  <c r="AH48" i="5"/>
  <c r="AG49" i="5"/>
  <c r="AH49" i="5"/>
  <c r="AG50" i="5"/>
  <c r="AH50" i="5"/>
  <c r="AG51" i="5"/>
  <c r="AH51" i="5"/>
  <c r="AG52" i="5"/>
  <c r="AH52" i="5"/>
  <c r="AG53" i="5"/>
  <c r="AH53" i="5"/>
  <c r="AG54" i="5"/>
  <c r="AH54" i="5"/>
  <c r="AG55" i="5"/>
  <c r="AH55" i="5"/>
  <c r="AG56" i="5"/>
  <c r="AH56" i="5"/>
  <c r="AG57" i="5"/>
  <c r="AS57" i="5" s="1"/>
  <c r="AH57" i="5"/>
  <c r="AG58" i="5"/>
  <c r="AH58" i="5"/>
  <c r="AG59" i="5"/>
  <c r="AH59" i="5"/>
  <c r="AG60" i="5"/>
  <c r="AH60" i="5"/>
  <c r="AG61" i="5"/>
  <c r="AS61" i="5" s="1"/>
  <c r="AH61" i="5"/>
  <c r="AT61" i="5" s="1"/>
  <c r="AG62" i="5"/>
  <c r="AS62" i="5" s="1"/>
  <c r="AH62" i="5"/>
  <c r="AT62" i="5" s="1"/>
  <c r="AG63" i="5"/>
  <c r="AH63" i="5"/>
  <c r="AG64" i="5"/>
  <c r="AH64" i="5"/>
  <c r="V211" i="5"/>
  <c r="W211" i="5"/>
  <c r="V212" i="5"/>
  <c r="W212" i="5"/>
  <c r="V213" i="5"/>
  <c r="W213" i="5"/>
  <c r="V214" i="5"/>
  <c r="W214" i="5"/>
  <c r="V215" i="5"/>
  <c r="W215" i="5"/>
  <c r="V216" i="5"/>
  <c r="W216" i="5"/>
  <c r="V217" i="5"/>
  <c r="W217" i="5"/>
  <c r="V218" i="5"/>
  <c r="W218" i="5"/>
  <c r="V219" i="5"/>
  <c r="W219" i="5"/>
  <c r="V220" i="5"/>
  <c r="W220" i="5"/>
  <c r="V221" i="5"/>
  <c r="W221" i="5"/>
  <c r="V222" i="5"/>
  <c r="W222" i="5"/>
  <c r="V223" i="5"/>
  <c r="W223" i="5"/>
  <c r="V224" i="5"/>
  <c r="W224" i="5"/>
  <c r="V225" i="5"/>
  <c r="W225" i="5"/>
  <c r="V226" i="5"/>
  <c r="W226" i="5"/>
  <c r="V227" i="5"/>
  <c r="W227" i="5"/>
  <c r="V228" i="5"/>
  <c r="W228" i="5"/>
  <c r="V229" i="5"/>
  <c r="W229" i="5"/>
  <c r="V230" i="5"/>
  <c r="W230" i="5"/>
  <c r="V231" i="5"/>
  <c r="W231" i="5"/>
  <c r="V232" i="5"/>
  <c r="W232" i="5"/>
  <c r="V233" i="5"/>
  <c r="W233" i="5"/>
  <c r="V234" i="5"/>
  <c r="W234" i="5"/>
  <c r="V235" i="5"/>
  <c r="W235" i="5"/>
  <c r="V236" i="5"/>
  <c r="W236" i="5"/>
  <c r="V237" i="5"/>
  <c r="W237" i="5"/>
  <c r="V238" i="5"/>
  <c r="W238" i="5"/>
  <c r="V239" i="5"/>
  <c r="W239" i="5"/>
  <c r="V240" i="5"/>
  <c r="W240" i="5"/>
  <c r="V241" i="5"/>
  <c r="W241" i="5"/>
  <c r="V242" i="5"/>
  <c r="W242" i="5"/>
  <c r="V243" i="5"/>
  <c r="W243" i="5"/>
  <c r="V244" i="5"/>
  <c r="W244" i="5"/>
  <c r="V245" i="5"/>
  <c r="W245" i="5"/>
  <c r="V246" i="5"/>
  <c r="W246" i="5"/>
  <c r="V247" i="5"/>
  <c r="W247" i="5"/>
  <c r="V248" i="5"/>
  <c r="W248" i="5"/>
  <c r="V249" i="5"/>
  <c r="W249" i="5"/>
  <c r="V250" i="5"/>
  <c r="W250" i="5"/>
  <c r="V251" i="5"/>
  <c r="W251" i="5"/>
  <c r="V252" i="5"/>
  <c r="W252" i="5"/>
  <c r="V253" i="5"/>
  <c r="W253" i="5"/>
  <c r="V254" i="5"/>
  <c r="W254" i="5"/>
  <c r="V255" i="5"/>
  <c r="W255" i="5"/>
  <c r="W210" i="5"/>
  <c r="V210" i="5"/>
  <c r="V178" i="5"/>
  <c r="W178" i="5"/>
  <c r="V179" i="5"/>
  <c r="W179" i="5"/>
  <c r="V180" i="5"/>
  <c r="W180" i="5"/>
  <c r="V181" i="5"/>
  <c r="W181" i="5"/>
  <c r="V182" i="5"/>
  <c r="W182" i="5"/>
  <c r="V183" i="5"/>
  <c r="W183" i="5"/>
  <c r="V184" i="5"/>
  <c r="W184" i="5"/>
  <c r="V185" i="5"/>
  <c r="W185" i="5"/>
  <c r="V186" i="5"/>
  <c r="W186" i="5"/>
  <c r="V187" i="5"/>
  <c r="W187" i="5"/>
  <c r="V188" i="5"/>
  <c r="W188" i="5"/>
  <c r="V189" i="5"/>
  <c r="W189" i="5"/>
  <c r="V190" i="5"/>
  <c r="W190" i="5"/>
  <c r="V191" i="5"/>
  <c r="W191" i="5"/>
  <c r="V192" i="5"/>
  <c r="W192" i="5"/>
  <c r="V193" i="5"/>
  <c r="W193" i="5"/>
  <c r="V194" i="5"/>
  <c r="W194" i="5"/>
  <c r="V195" i="5"/>
  <c r="W195" i="5"/>
  <c r="V196" i="5"/>
  <c r="W196" i="5"/>
  <c r="V197" i="5"/>
  <c r="W197" i="5"/>
  <c r="V198" i="5"/>
  <c r="W198" i="5"/>
  <c r="V199" i="5"/>
  <c r="W199" i="5"/>
  <c r="V200" i="5"/>
  <c r="W200" i="5"/>
  <c r="V201" i="5"/>
  <c r="W201" i="5"/>
  <c r="V202" i="5"/>
  <c r="W202" i="5"/>
  <c r="V203" i="5"/>
  <c r="W203" i="5"/>
  <c r="V204" i="5"/>
  <c r="W204" i="5"/>
  <c r="V205" i="5"/>
  <c r="W205" i="5"/>
  <c r="V68" i="5"/>
  <c r="W68" i="5"/>
  <c r="V69" i="5"/>
  <c r="W69" i="5"/>
  <c r="V70" i="5"/>
  <c r="W70" i="5"/>
  <c r="V71" i="5"/>
  <c r="W71" i="5"/>
  <c r="V72" i="5"/>
  <c r="W72" i="5"/>
  <c r="V73" i="5"/>
  <c r="W73" i="5"/>
  <c r="V74" i="5"/>
  <c r="W74" i="5"/>
  <c r="V75" i="5"/>
  <c r="W75" i="5"/>
  <c r="V76" i="5"/>
  <c r="W76" i="5"/>
  <c r="V77" i="5"/>
  <c r="W77" i="5"/>
  <c r="V78" i="5"/>
  <c r="W78" i="5"/>
  <c r="V79" i="5"/>
  <c r="W79" i="5"/>
  <c r="V80" i="5"/>
  <c r="W80" i="5"/>
  <c r="V81" i="5"/>
  <c r="W81" i="5"/>
  <c r="V82" i="5"/>
  <c r="W82" i="5"/>
  <c r="V83" i="5"/>
  <c r="W83" i="5"/>
  <c r="V84" i="5"/>
  <c r="W84" i="5"/>
  <c r="V85" i="5"/>
  <c r="W85" i="5"/>
  <c r="V86" i="5"/>
  <c r="W86" i="5"/>
  <c r="V87" i="5"/>
  <c r="W87" i="5"/>
  <c r="V88" i="5"/>
  <c r="W88" i="5"/>
  <c r="V89" i="5"/>
  <c r="W89" i="5"/>
  <c r="V90" i="5"/>
  <c r="W90" i="5"/>
  <c r="V91" i="5"/>
  <c r="W91" i="5"/>
  <c r="V92" i="5"/>
  <c r="W92" i="5"/>
  <c r="V93" i="5"/>
  <c r="W93" i="5"/>
  <c r="V94" i="5"/>
  <c r="W94" i="5"/>
  <c r="V95" i="5"/>
  <c r="W95" i="5"/>
  <c r="V96" i="5"/>
  <c r="W96" i="5"/>
  <c r="V97" i="5"/>
  <c r="W97" i="5"/>
  <c r="V98" i="5"/>
  <c r="W98" i="5"/>
  <c r="V99" i="5"/>
  <c r="W99" i="5"/>
  <c r="V100" i="5"/>
  <c r="W100" i="5"/>
  <c r="V101" i="5"/>
  <c r="W101" i="5"/>
  <c r="V102" i="5"/>
  <c r="W102" i="5"/>
  <c r="V103" i="5"/>
  <c r="W103" i="5"/>
  <c r="V104" i="5"/>
  <c r="W104" i="5"/>
  <c r="V105" i="5"/>
  <c r="W105" i="5"/>
  <c r="V106" i="5"/>
  <c r="W106" i="5"/>
  <c r="V107" i="5"/>
  <c r="W107" i="5"/>
  <c r="V108" i="5"/>
  <c r="W108" i="5"/>
  <c r="V109" i="5"/>
  <c r="W109" i="5"/>
  <c r="V110" i="5"/>
  <c r="W110" i="5"/>
  <c r="V111" i="5"/>
  <c r="W111" i="5"/>
  <c r="V112" i="5"/>
  <c r="W112" i="5"/>
  <c r="V113" i="5"/>
  <c r="W113" i="5"/>
  <c r="V114" i="5"/>
  <c r="W114" i="5"/>
  <c r="V115" i="5"/>
  <c r="W115" i="5"/>
  <c r="V116" i="5"/>
  <c r="W116" i="5"/>
  <c r="V117" i="5"/>
  <c r="W117" i="5"/>
  <c r="V118" i="5"/>
  <c r="W118" i="5"/>
  <c r="V119" i="5"/>
  <c r="W119" i="5"/>
  <c r="V120" i="5"/>
  <c r="W120" i="5"/>
  <c r="V121" i="5"/>
  <c r="W121" i="5"/>
  <c r="V122" i="5"/>
  <c r="W122" i="5"/>
  <c r="V123" i="5"/>
  <c r="W123" i="5"/>
  <c r="V124" i="5"/>
  <c r="W124" i="5"/>
  <c r="V125" i="5"/>
  <c r="W125" i="5"/>
  <c r="V126" i="5"/>
  <c r="W126" i="5"/>
  <c r="V127" i="5"/>
  <c r="W127" i="5"/>
  <c r="V128" i="5"/>
  <c r="W128" i="5"/>
  <c r="V129" i="5"/>
  <c r="W129" i="5"/>
  <c r="V130" i="5"/>
  <c r="W130" i="5"/>
  <c r="V131" i="5"/>
  <c r="W131" i="5"/>
  <c r="V132" i="5"/>
  <c r="W132" i="5"/>
  <c r="V133" i="5"/>
  <c r="W133" i="5"/>
  <c r="V134" i="5"/>
  <c r="W134" i="5"/>
  <c r="V135" i="5"/>
  <c r="W135" i="5"/>
  <c r="V136" i="5"/>
  <c r="W136" i="5"/>
  <c r="V137" i="5"/>
  <c r="W137" i="5"/>
  <c r="V138" i="5"/>
  <c r="W138" i="5"/>
  <c r="V139" i="5"/>
  <c r="W139" i="5"/>
  <c r="V140" i="5"/>
  <c r="W140" i="5"/>
  <c r="V141" i="5"/>
  <c r="W141" i="5"/>
  <c r="V142" i="5"/>
  <c r="W142" i="5"/>
  <c r="V143" i="5"/>
  <c r="W143" i="5"/>
  <c r="V144" i="5"/>
  <c r="W144" i="5"/>
  <c r="V145" i="5"/>
  <c r="W145" i="5"/>
  <c r="V146" i="5"/>
  <c r="W146" i="5"/>
  <c r="V147" i="5"/>
  <c r="W147" i="5"/>
  <c r="V148" i="5"/>
  <c r="W148" i="5"/>
  <c r="V149" i="5"/>
  <c r="W149" i="5"/>
  <c r="V150" i="5"/>
  <c r="W150" i="5"/>
  <c r="V151" i="5"/>
  <c r="W151" i="5"/>
  <c r="V152" i="5"/>
  <c r="W152" i="5"/>
  <c r="V153" i="5"/>
  <c r="W153" i="5"/>
  <c r="V154" i="5"/>
  <c r="W154" i="5"/>
  <c r="V155" i="5"/>
  <c r="W155" i="5"/>
  <c r="V156" i="5"/>
  <c r="W156" i="5"/>
  <c r="V157" i="5"/>
  <c r="W157" i="5"/>
  <c r="V158" i="5"/>
  <c r="W158" i="5"/>
  <c r="V159" i="5"/>
  <c r="W159" i="5"/>
  <c r="V160" i="5"/>
  <c r="W160" i="5"/>
  <c r="V161" i="5"/>
  <c r="W161" i="5"/>
  <c r="V162" i="5"/>
  <c r="W162" i="5"/>
  <c r="V163" i="5"/>
  <c r="W163" i="5"/>
  <c r="V164" i="5"/>
  <c r="W164" i="5"/>
  <c r="V165" i="5"/>
  <c r="W165" i="5"/>
  <c r="V166" i="5"/>
  <c r="W166" i="5"/>
  <c r="V167" i="5"/>
  <c r="W167" i="5"/>
  <c r="V168" i="5"/>
  <c r="W168" i="5"/>
  <c r="V169" i="5"/>
  <c r="W169" i="5"/>
  <c r="V170" i="5"/>
  <c r="W170" i="5"/>
  <c r="V171" i="5"/>
  <c r="W171" i="5"/>
  <c r="V172" i="5"/>
  <c r="W172" i="5"/>
  <c r="V173" i="5"/>
  <c r="W173" i="5"/>
  <c r="V174" i="5"/>
  <c r="W174" i="5"/>
  <c r="V175" i="5"/>
  <c r="W175" i="5"/>
  <c r="V176" i="5"/>
  <c r="W176" i="5"/>
  <c r="V177" i="5"/>
  <c r="W177" i="5"/>
  <c r="W67" i="5"/>
  <c r="V67" i="5"/>
  <c r="V27" i="5"/>
  <c r="W27" i="5"/>
  <c r="V28" i="5"/>
  <c r="W28" i="5"/>
  <c r="V29" i="5"/>
  <c r="W29" i="5"/>
  <c r="V30" i="5"/>
  <c r="W30" i="5"/>
  <c r="V31" i="5"/>
  <c r="W31" i="5"/>
  <c r="V32" i="5"/>
  <c r="W32" i="5"/>
  <c r="V33" i="5"/>
  <c r="W33" i="5"/>
  <c r="V34" i="5"/>
  <c r="W34" i="5"/>
  <c r="V35" i="5"/>
  <c r="W35" i="5"/>
  <c r="V36" i="5"/>
  <c r="W36" i="5"/>
  <c r="V37" i="5"/>
  <c r="W37" i="5"/>
  <c r="V38" i="5"/>
  <c r="W38" i="5"/>
  <c r="V39" i="5"/>
  <c r="W39" i="5"/>
  <c r="V40" i="5"/>
  <c r="W40" i="5"/>
  <c r="V41" i="5"/>
  <c r="W41" i="5"/>
  <c r="V42" i="5"/>
  <c r="W42" i="5"/>
  <c r="V43" i="5"/>
  <c r="W43" i="5"/>
  <c r="V44" i="5"/>
  <c r="W44" i="5"/>
  <c r="V45" i="5"/>
  <c r="W45" i="5"/>
  <c r="V46" i="5"/>
  <c r="W46" i="5"/>
  <c r="V47" i="5"/>
  <c r="W47" i="5"/>
  <c r="V48" i="5"/>
  <c r="W48" i="5"/>
  <c r="V49" i="5"/>
  <c r="W49" i="5"/>
  <c r="V50" i="5"/>
  <c r="W50" i="5"/>
  <c r="V51" i="5"/>
  <c r="W51" i="5"/>
  <c r="V52" i="5"/>
  <c r="W52" i="5"/>
  <c r="V53" i="5"/>
  <c r="W53" i="5"/>
  <c r="V54" i="5"/>
  <c r="W54" i="5"/>
  <c r="V55" i="5"/>
  <c r="W55" i="5"/>
  <c r="V56" i="5"/>
  <c r="W56" i="5"/>
  <c r="V57" i="5"/>
  <c r="W57" i="5"/>
  <c r="V58" i="5"/>
  <c r="W58" i="5"/>
  <c r="V59" i="5"/>
  <c r="W59" i="5"/>
  <c r="V60" i="5"/>
  <c r="W60" i="5"/>
  <c r="V61" i="5"/>
  <c r="W61" i="5"/>
  <c r="V62" i="5"/>
  <c r="W62" i="5"/>
  <c r="V63" i="5"/>
  <c r="W63" i="5"/>
  <c r="V64" i="5"/>
  <c r="W64" i="5"/>
  <c r="AH26" i="5"/>
  <c r="AG26" i="5"/>
  <c r="W26" i="5"/>
  <c r="V26" i="5"/>
  <c r="DT20" i="1"/>
  <c r="DR20" i="1"/>
  <c r="DO27" i="1"/>
  <c r="DO26" i="1"/>
  <c r="DO24" i="1"/>
  <c r="DO23" i="1"/>
  <c r="DO19" i="1"/>
  <c r="DO18" i="1"/>
  <c r="DO17" i="1"/>
  <c r="DO15" i="1"/>
  <c r="DO14" i="1"/>
  <c r="DO13" i="1"/>
  <c r="DO12" i="1"/>
  <c r="DO6" i="1"/>
  <c r="DO7" i="1"/>
  <c r="DO8" i="1"/>
  <c r="DO9" i="1"/>
  <c r="DO10" i="1"/>
  <c r="DO2" i="1"/>
  <c r="DO3" i="1"/>
  <c r="DO4" i="1"/>
  <c r="DO5" i="1"/>
  <c r="C214" i="5"/>
  <c r="DP18" i="1"/>
  <c r="DQ18" i="1"/>
  <c r="DR18" i="1"/>
  <c r="DS18" i="1"/>
  <c r="DT18" i="1"/>
  <c r="DP19" i="1"/>
  <c r="DQ19" i="1"/>
  <c r="DR19" i="1"/>
  <c r="DS19" i="1"/>
  <c r="DT19" i="1"/>
  <c r="DT13" i="1"/>
  <c r="DT14" i="1"/>
  <c r="DT15" i="1"/>
  <c r="DT17" i="1"/>
  <c r="DT12" i="1"/>
  <c r="DP17" i="1"/>
  <c r="DQ17" i="1"/>
  <c r="DR17" i="1"/>
  <c r="DS17" i="1"/>
  <c r="J72" i="4" a="1"/>
  <c r="J73" i="4" a="1"/>
  <c r="J74" i="4" a="1"/>
  <c r="J75" i="4" a="1"/>
  <c r="J76" i="4" a="1"/>
  <c r="J77" i="4" a="1"/>
  <c r="J78" i="4" a="1"/>
  <c r="J71" i="4" a="1"/>
  <c r="I72" i="4" a="1"/>
  <c r="I73" i="4" a="1"/>
  <c r="I74" i="4" a="1"/>
  <c r="I75" i="4" a="1"/>
  <c r="I76" i="4" a="1"/>
  <c r="I78" i="4" a="1"/>
  <c r="G72" i="4" a="1"/>
  <c r="G73" i="4" a="1"/>
  <c r="G74" i="4" a="1"/>
  <c r="G75" i="4" a="1"/>
  <c r="G76" i="4" a="1"/>
  <c r="G78" i="4" a="1"/>
  <c r="E72" i="4" a="1"/>
  <c r="E73" i="4" a="1"/>
  <c r="E74" i="4" a="1"/>
  <c r="E75" i="4" a="1"/>
  <c r="E76" i="4" a="1"/>
  <c r="E78" i="4" a="1"/>
  <c r="I71" i="4" a="1"/>
  <c r="G71" i="4" a="1"/>
  <c r="E71" i="4" a="1"/>
  <c r="M78" i="4" a="1"/>
  <c r="B78" i="4" a="1"/>
  <c r="M77" i="4" a="1"/>
  <c r="B77" i="4" a="1"/>
  <c r="M76" i="4" a="1"/>
  <c r="B76" i="4" a="1"/>
  <c r="M75" i="4" a="1"/>
  <c r="B75" i="4" a="1"/>
  <c r="M74" i="4" a="1"/>
  <c r="B74" i="4" a="1"/>
  <c r="M73" i="4" a="1"/>
  <c r="B73" i="4" a="1"/>
  <c r="M72" i="4" a="1"/>
  <c r="B72" i="4" a="1"/>
  <c r="M71" i="4" a="1"/>
  <c r="B71" i="4" a="1"/>
  <c r="DP33" i="1"/>
  <c r="DU33" i="1" s="1"/>
  <c r="DQ37" i="1"/>
  <c r="DQ36" i="1"/>
  <c r="DQ35" i="1"/>
  <c r="DQ34" i="1"/>
  <c r="DQ33" i="1"/>
  <c r="DQ32" i="1"/>
  <c r="DQ31" i="1"/>
  <c r="DQ30" i="1"/>
  <c r="DQ27" i="1"/>
  <c r="DQ26" i="1"/>
  <c r="DQ15" i="1"/>
  <c r="DQ12" i="1"/>
  <c r="DQ13" i="1"/>
  <c r="DQ14" i="1"/>
  <c r="DT33" i="1"/>
  <c r="DS37" i="1"/>
  <c r="DS36" i="1"/>
  <c r="DS35" i="1"/>
  <c r="DS34" i="1"/>
  <c r="DS33" i="1"/>
  <c r="DS32" i="1"/>
  <c r="DS31" i="1"/>
  <c r="DS30" i="1"/>
  <c r="DS27" i="1"/>
  <c r="DS26" i="1"/>
  <c r="DR32" i="1"/>
  <c r="DR33" i="1"/>
  <c r="DT37" i="1"/>
  <c r="DT36" i="1"/>
  <c r="DT35" i="1"/>
  <c r="DT34" i="1"/>
  <c r="DT31" i="1"/>
  <c r="DT32" i="1"/>
  <c r="DT30" i="1"/>
  <c r="DR37" i="1"/>
  <c r="DR36" i="1"/>
  <c r="DR35" i="1"/>
  <c r="DR34" i="1"/>
  <c r="DR31" i="1"/>
  <c r="DR30" i="1"/>
  <c r="DR27" i="1"/>
  <c r="DR26" i="1"/>
  <c r="DR13" i="1"/>
  <c r="DR14" i="1"/>
  <c r="DR15" i="1"/>
  <c r="DR12" i="1"/>
  <c r="DP34" i="1"/>
  <c r="DU34" i="1" s="1"/>
  <c r="DP32" i="1"/>
  <c r="DU32" i="1" s="1"/>
  <c r="DP31" i="1"/>
  <c r="DU31" i="1" s="1"/>
  <c r="DP30" i="1"/>
  <c r="DO34" i="1"/>
  <c r="DV34" i="1" s="1"/>
  <c r="DO37" i="1"/>
  <c r="DP37" i="1"/>
  <c r="DU37" i="1" s="1"/>
  <c r="DO36" i="1"/>
  <c r="DO35" i="1"/>
  <c r="DO33" i="1"/>
  <c r="DV33" i="1" s="1"/>
  <c r="DO32" i="1"/>
  <c r="DV32" i="1" s="1"/>
  <c r="DO31" i="1"/>
  <c r="DV31" i="1" s="1"/>
  <c r="DO30" i="1"/>
  <c r="DV30" i="1" s="1"/>
  <c r="DO45" i="1"/>
  <c r="DO44" i="1"/>
  <c r="DT45" i="1"/>
  <c r="DS45" i="1"/>
  <c r="DR45" i="1"/>
  <c r="DQ45" i="1"/>
  <c r="DP45" i="1"/>
  <c r="DU45" i="1" s="1"/>
  <c r="DT44" i="1"/>
  <c r="DS44" i="1"/>
  <c r="DR44" i="1"/>
  <c r="DQ44" i="1"/>
  <c r="DP44" i="1"/>
  <c r="DU44" i="1" s="1"/>
  <c r="M56" i="4" a="1"/>
  <c r="J56" i="4" a="1"/>
  <c r="I56" i="4" a="1"/>
  <c r="G56" i="4" a="1"/>
  <c r="E56" i="4" a="1"/>
  <c r="B56" i="4" a="1"/>
  <c r="AC209" i="5"/>
  <c r="AD209" i="5"/>
  <c r="Y209" i="5"/>
  <c r="Z209" i="5"/>
  <c r="AA209" i="5"/>
  <c r="AB209" i="5"/>
  <c r="X209" i="5"/>
  <c r="AJ209" i="5"/>
  <c r="AK209" i="5"/>
  <c r="AL209" i="5"/>
  <c r="AM209" i="5"/>
  <c r="AN209" i="5"/>
  <c r="AO209" i="5"/>
  <c r="AP209" i="5"/>
  <c r="AQ209" i="5"/>
  <c r="AI209" i="5"/>
  <c r="AE209" i="5"/>
  <c r="AF209" i="5"/>
  <c r="M40" i="4" a="1"/>
  <c r="J40" i="4" a="1"/>
  <c r="I40" i="4" a="1"/>
  <c r="G40" i="4" a="1"/>
  <c r="E40" i="4" a="1"/>
  <c r="B40" i="4" a="1"/>
  <c r="B11" i="4" a="1"/>
  <c r="E11" i="4" a="1"/>
  <c r="G11" i="4" a="1"/>
  <c r="I11" i="4" a="1"/>
  <c r="J11" i="4" a="1"/>
  <c r="M11" i="4" a="1"/>
  <c r="B12" i="4" a="1"/>
  <c r="E12" i="4" a="1"/>
  <c r="G12" i="4" a="1"/>
  <c r="I12" i="4" a="1"/>
  <c r="J12" i="4" a="1"/>
  <c r="M12" i="4" a="1"/>
  <c r="B13" i="4" a="1"/>
  <c r="E13" i="4" a="1"/>
  <c r="G13" i="4" a="1"/>
  <c r="I13" i="4" a="1"/>
  <c r="J13" i="4" a="1"/>
  <c r="M13" i="4" a="1"/>
  <c r="B14" i="4" a="1"/>
  <c r="E14" i="4" a="1"/>
  <c r="G14" i="4" a="1"/>
  <c r="I14" i="4" a="1"/>
  <c r="J14" i="4" a="1"/>
  <c r="M14" i="4" a="1"/>
  <c r="J54" i="4" a="1"/>
  <c r="M54" i="4" a="1"/>
  <c r="J55" i="4" a="1"/>
  <c r="M55" i="4" a="1"/>
  <c r="B55" i="4" a="1"/>
  <c r="B54" i="4" a="1"/>
  <c r="I55" i="4" a="1"/>
  <c r="G55" i="4" a="1"/>
  <c r="E55" i="4" a="1"/>
  <c r="I54" i="4" a="1"/>
  <c r="G54" i="4" a="1"/>
  <c r="E54" i="4" a="1"/>
  <c r="J53" i="4" a="1"/>
  <c r="O39" i="7"/>
  <c r="O40" i="7"/>
  <c r="O41" i="7"/>
  <c r="O42" i="7"/>
  <c r="O43" i="7"/>
  <c r="O44" i="7"/>
  <c r="O45" i="7"/>
  <c r="O46" i="7"/>
  <c r="O38" i="7"/>
  <c r="DT23" i="1"/>
  <c r="DS23" i="1"/>
  <c r="DR23" i="1"/>
  <c r="DQ23" i="1"/>
  <c r="DP23" i="1"/>
  <c r="DU23" i="1" s="1"/>
  <c r="M53" i="4" a="1"/>
  <c r="M52" i="4" a="1"/>
  <c r="M10" i="4" a="1"/>
  <c r="M9" i="4" a="1"/>
  <c r="M8" i="4" a="1"/>
  <c r="M7" i="4" a="1"/>
  <c r="M6" i="4" a="1"/>
  <c r="M17" i="4" a="1"/>
  <c r="M18" i="4" a="1"/>
  <c r="M25" i="4" a="1"/>
  <c r="M24" i="4" a="1"/>
  <c r="M23" i="4" a="1"/>
  <c r="M22" i="4" a="1"/>
  <c r="M21" i="4" a="1"/>
  <c r="M29" i="4" a="1"/>
  <c r="M28" i="4" a="1"/>
  <c r="M36" i="4" a="1"/>
  <c r="M35" i="4" a="1"/>
  <c r="M34" i="4" a="1"/>
  <c r="M33" i="4" a="1"/>
  <c r="M32" i="4" a="1"/>
  <c r="M39" i="4" a="1"/>
  <c r="M43" i="4" a="1"/>
  <c r="M44" i="4" a="1"/>
  <c r="M48" i="4" a="1"/>
  <c r="M61" i="4" a="1"/>
  <c r="M60" i="4" a="1"/>
  <c r="M66" i="4" a="1"/>
  <c r="M65" i="4" a="1"/>
  <c r="M64" i="4" a="1"/>
  <c r="M67" i="4" a="1"/>
  <c r="J36" i="7"/>
  <c r="J35" i="7"/>
  <c r="I36" i="7"/>
  <c r="I35" i="7"/>
  <c r="J34" i="7"/>
  <c r="I34" i="7"/>
  <c r="H36" i="7"/>
  <c r="H35" i="7"/>
  <c r="H34" i="7"/>
  <c r="J67" i="4" a="1"/>
  <c r="B67" i="4" a="1"/>
  <c r="AU61" i="5" l="1"/>
  <c r="AU62" i="5"/>
  <c r="AU240" i="5"/>
  <c r="K75" i="4" a="1"/>
  <c r="K73" i="4" a="1"/>
  <c r="AU194" i="5"/>
  <c r="L75" i="4" a="1"/>
  <c r="K76" i="4" a="1"/>
  <c r="L76" i="4" a="1"/>
  <c r="AU204" i="5"/>
  <c r="AU214" i="5"/>
  <c r="DV18" i="1"/>
  <c r="DU18" i="1"/>
  <c r="DV19" i="1"/>
  <c r="DU19" i="1"/>
  <c r="O74" i="4" a="1"/>
  <c r="DV17" i="1"/>
  <c r="DU17" i="1"/>
  <c r="O76" i="4" a="1"/>
  <c r="O73" i="4" a="1"/>
  <c r="O77" i="4" a="1"/>
  <c r="DV37" i="1"/>
  <c r="O75" i="4" a="1"/>
  <c r="DV44" i="1"/>
  <c r="K78" i="4" a="1"/>
  <c r="L72" i="4" a="1"/>
  <c r="K74" i="4" a="1"/>
  <c r="K72" i="4" a="1"/>
  <c r="AU116" i="5"/>
  <c r="AU241" i="5"/>
  <c r="L73" i="4" s="1" a="1"/>
  <c r="L71" i="4" a="1"/>
  <c r="K71" i="4" a="1"/>
  <c r="L74" i="4" a="1"/>
  <c r="AU245" i="5"/>
  <c r="L78" i="4" s="1" a="1"/>
  <c r="AU231" i="5"/>
  <c r="AU243" i="5"/>
  <c r="DW30" i="1"/>
  <c r="DW31" i="1"/>
  <c r="DW32" i="1"/>
  <c r="DU30" i="1"/>
  <c r="DV45" i="1"/>
  <c r="AU41" i="5"/>
  <c r="AU202" i="5"/>
  <c r="DV23" i="1"/>
  <c r="M34" i="7" a="1"/>
  <c r="M35" i="7" a="1"/>
  <c r="N35" i="7" s="1"/>
  <c r="M36" i="7" a="1"/>
  <c r="N36" i="7" s="1"/>
  <c r="AU76" i="5"/>
  <c r="AT76" i="5"/>
  <c r="AS76" i="5"/>
  <c r="AU114" i="5"/>
  <c r="AT114" i="5"/>
  <c r="AS114" i="5"/>
  <c r="AU40" i="5"/>
  <c r="L11" i="4" s="1" a="1"/>
  <c r="AT40" i="5"/>
  <c r="AS40" i="5"/>
  <c r="K11" i="4" s="1" a="1"/>
  <c r="V10" i="7"/>
  <c r="V9" i="7"/>
  <c r="V8" i="7"/>
  <c r="V7" i="7"/>
  <c r="V6" i="7"/>
  <c r="Q9" i="7"/>
  <c r="Q5" i="7"/>
  <c r="U5" i="7"/>
  <c r="T5" i="7"/>
  <c r="S5" i="7"/>
  <c r="R5" i="7"/>
  <c r="N10" i="7"/>
  <c r="N9" i="7"/>
  <c r="N8" i="7"/>
  <c r="N7" i="7"/>
  <c r="N6" i="7"/>
  <c r="M5" i="7"/>
  <c r="H6" i="7"/>
  <c r="L5" i="7"/>
  <c r="K5" i="7"/>
  <c r="J5" i="7"/>
  <c r="I15" i="7"/>
  <c r="J15" i="7"/>
  <c r="H15" i="7"/>
  <c r="I5" i="7"/>
  <c r="H5" i="7"/>
  <c r="U8" i="7" s="1"/>
  <c r="S74" i="3"/>
  <c r="S75" i="3"/>
  <c r="S76" i="3"/>
  <c r="S77" i="3"/>
  <c r="S78" i="3"/>
  <c r="S79" i="3"/>
  <c r="S73" i="3"/>
  <c r="DP35" i="1"/>
  <c r="DP36" i="1"/>
  <c r="DP3" i="1"/>
  <c r="DU3" i="1" s="1"/>
  <c r="DP4" i="1"/>
  <c r="DU4" i="1" s="1"/>
  <c r="DP5" i="1"/>
  <c r="DU5" i="1" s="1"/>
  <c r="DP6" i="1"/>
  <c r="DU6" i="1" s="1"/>
  <c r="DP7" i="1"/>
  <c r="DU7" i="1" s="1"/>
  <c r="DP8" i="1"/>
  <c r="DU8" i="1" s="1"/>
  <c r="DP9" i="1"/>
  <c r="DU9" i="1" s="1"/>
  <c r="DP10" i="1"/>
  <c r="DU10" i="1" s="1"/>
  <c r="DP2" i="1"/>
  <c r="DU2" i="1" s="1"/>
  <c r="DT24" i="1"/>
  <c r="DS24" i="1"/>
  <c r="DR24" i="1"/>
  <c r="DQ24" i="1"/>
  <c r="DP24" i="1"/>
  <c r="DU24" i="1" s="1"/>
  <c r="DP27" i="1"/>
  <c r="DU27" i="1" s="1"/>
  <c r="DP26" i="1"/>
  <c r="DU26" i="1" s="1"/>
  <c r="DT27" i="1"/>
  <c r="DT26" i="1"/>
  <c r="DS15" i="1"/>
  <c r="DS14" i="1"/>
  <c r="DS13" i="1"/>
  <c r="DS12" i="1"/>
  <c r="DS3" i="1"/>
  <c r="DS4" i="1"/>
  <c r="DS5" i="1"/>
  <c r="DS6" i="1"/>
  <c r="DS7" i="1"/>
  <c r="DS8" i="1"/>
  <c r="DS9" i="1"/>
  <c r="DS10" i="1"/>
  <c r="DS2" i="1"/>
  <c r="DQ3" i="1"/>
  <c r="DQ4" i="1"/>
  <c r="DQ5" i="1"/>
  <c r="DQ6" i="1"/>
  <c r="DQ7" i="1"/>
  <c r="DQ8" i="1"/>
  <c r="DQ9" i="1"/>
  <c r="DQ10" i="1"/>
  <c r="DQ2" i="1"/>
  <c r="DP13" i="1"/>
  <c r="DU13" i="1" s="1"/>
  <c r="DP14" i="1"/>
  <c r="DU14" i="1" s="1"/>
  <c r="DP15" i="1"/>
  <c r="DU15" i="1" s="1"/>
  <c r="DP12" i="1"/>
  <c r="DU12" i="1" s="1"/>
  <c r="DP21" i="1"/>
  <c r="AU188" i="5"/>
  <c r="AT188" i="5"/>
  <c r="AS188" i="5"/>
  <c r="AU187" i="5"/>
  <c r="AT187" i="5"/>
  <c r="AS187" i="5"/>
  <c r="AU186" i="5"/>
  <c r="AT186" i="5"/>
  <c r="AS186" i="5"/>
  <c r="AU185" i="5"/>
  <c r="AT185" i="5"/>
  <c r="AS185" i="5"/>
  <c r="AU184" i="5"/>
  <c r="AT184" i="5"/>
  <c r="AS184" i="5"/>
  <c r="AU183" i="5"/>
  <c r="AT183" i="5"/>
  <c r="AS183" i="5"/>
  <c r="AT181" i="5"/>
  <c r="AS181" i="5"/>
  <c r="AU181" i="5"/>
  <c r="AT180" i="5"/>
  <c r="AS180" i="5"/>
  <c r="AT179" i="5"/>
  <c r="AS179" i="5"/>
  <c r="AU179" i="5"/>
  <c r="AT178" i="5"/>
  <c r="AS178" i="5"/>
  <c r="AT177" i="5"/>
  <c r="AS177" i="5"/>
  <c r="AU177" i="5"/>
  <c r="AT176" i="5"/>
  <c r="AS176" i="5"/>
  <c r="AU176" i="5"/>
  <c r="AT175" i="5"/>
  <c r="AS175" i="5"/>
  <c r="AT174" i="5"/>
  <c r="AS174" i="5"/>
  <c r="AT173" i="5"/>
  <c r="AS173" i="5"/>
  <c r="AU173" i="5"/>
  <c r="AT172" i="5"/>
  <c r="AS172" i="5"/>
  <c r="AT171" i="5"/>
  <c r="AS171" i="5"/>
  <c r="AT170" i="5"/>
  <c r="AS170" i="5"/>
  <c r="AT169" i="5"/>
  <c r="AS169" i="5"/>
  <c r="AU169" i="5"/>
  <c r="AT168" i="5"/>
  <c r="AS168" i="5"/>
  <c r="AU168" i="5"/>
  <c r="AT167" i="5"/>
  <c r="AS167" i="5"/>
  <c r="AT166" i="5"/>
  <c r="AS166" i="5"/>
  <c r="AT165" i="5"/>
  <c r="AS165" i="5"/>
  <c r="AT164" i="5"/>
  <c r="AS164" i="5"/>
  <c r="AU164" i="5"/>
  <c r="AT163" i="5"/>
  <c r="AS163" i="5"/>
  <c r="AU163" i="5"/>
  <c r="AT162" i="5"/>
  <c r="AS162" i="5"/>
  <c r="AU162" i="5"/>
  <c r="AT161" i="5"/>
  <c r="AS161" i="5"/>
  <c r="I53" i="4" a="1"/>
  <c r="G53" i="4" a="1"/>
  <c r="E53" i="4" a="1"/>
  <c r="B53" i="4" a="1"/>
  <c r="J52" i="4" a="1"/>
  <c r="I52" i="4" a="1"/>
  <c r="G52" i="4" a="1"/>
  <c r="E52" i="4" a="1"/>
  <c r="B52" i="4" a="1"/>
  <c r="J36" i="4" a="1"/>
  <c r="I36" i="4" a="1"/>
  <c r="G36" i="4" a="1"/>
  <c r="E36" i="4" a="1"/>
  <c r="B36" i="4" a="1"/>
  <c r="J34" i="4" a="1"/>
  <c r="I34" i="4" a="1"/>
  <c r="G34" i="4" a="1"/>
  <c r="E34" i="4" a="1"/>
  <c r="B34" i="4" a="1"/>
  <c r="J25" i="4" a="1"/>
  <c r="I25" i="4" a="1"/>
  <c r="G25" i="4" a="1"/>
  <c r="E25" i="4" a="1"/>
  <c r="B25" i="4" a="1"/>
  <c r="J10" i="4" a="1"/>
  <c r="I10" i="4" a="1"/>
  <c r="G10" i="4" a="1"/>
  <c r="E10" i="4" a="1"/>
  <c r="B10" i="4" a="1"/>
  <c r="J9" i="4" a="1"/>
  <c r="I9" i="4" a="1"/>
  <c r="G9" i="4" a="1"/>
  <c r="E9" i="4" a="1"/>
  <c r="B9" i="4" a="1"/>
  <c r="AU148" i="5"/>
  <c r="AU121" i="5"/>
  <c r="AU100" i="5"/>
  <c r="AU99" i="5"/>
  <c r="AU140" i="5"/>
  <c r="AU139" i="5"/>
  <c r="AU138" i="5"/>
  <c r="AU130" i="5"/>
  <c r="AU93" i="5"/>
  <c r="AU58" i="5"/>
  <c r="AU54" i="5"/>
  <c r="AU26" i="5"/>
  <c r="L9" i="4" s="1" a="1"/>
  <c r="AT140" i="5"/>
  <c r="AS140" i="5"/>
  <c r="AT139" i="5"/>
  <c r="AS139" i="5"/>
  <c r="AT138" i="5"/>
  <c r="AS138" i="5"/>
  <c r="AT113" i="5"/>
  <c r="AS113" i="5"/>
  <c r="AT74" i="5"/>
  <c r="AS74" i="5"/>
  <c r="AS39" i="5"/>
  <c r="AT39" i="5"/>
  <c r="AG209" i="5"/>
  <c r="AH209" i="5"/>
  <c r="W209" i="5"/>
  <c r="V209" i="5"/>
  <c r="AQ65" i="5"/>
  <c r="AP65" i="5"/>
  <c r="AO65" i="5"/>
  <c r="AN65" i="5"/>
  <c r="AM65" i="5"/>
  <c r="AL65" i="5"/>
  <c r="AK65" i="5"/>
  <c r="AJ65" i="5"/>
  <c r="AI65" i="5"/>
  <c r="AU65" i="5" s="1"/>
  <c r="AF65" i="5"/>
  <c r="AE65" i="5"/>
  <c r="AD65" i="5"/>
  <c r="AC65" i="5"/>
  <c r="AB65" i="5"/>
  <c r="AA65" i="5"/>
  <c r="Z65" i="5"/>
  <c r="Y65" i="5"/>
  <c r="X65" i="5"/>
  <c r="AG66" i="5"/>
  <c r="V66" i="5"/>
  <c r="AQ66" i="5"/>
  <c r="AP66" i="5"/>
  <c r="AO66" i="5"/>
  <c r="AN66" i="5"/>
  <c r="AM66" i="5"/>
  <c r="AL66" i="5"/>
  <c r="AK66" i="5"/>
  <c r="AJ66" i="5"/>
  <c r="AI66" i="5"/>
  <c r="AU66" i="5" s="1"/>
  <c r="AH66" i="5"/>
  <c r="AF66" i="5"/>
  <c r="AE66" i="5"/>
  <c r="AD66" i="5"/>
  <c r="AC66" i="5"/>
  <c r="AB66" i="5"/>
  <c r="AA66" i="5"/>
  <c r="Z66" i="5"/>
  <c r="Y66" i="5"/>
  <c r="X66" i="5"/>
  <c r="W66" i="5"/>
  <c r="AU223" i="5"/>
  <c r="AU221" i="5"/>
  <c r="AU220" i="5"/>
  <c r="AU218" i="5"/>
  <c r="AU213" i="5"/>
  <c r="AU211" i="5"/>
  <c r="J66" i="4" a="1"/>
  <c r="B66" i="4" a="1"/>
  <c r="J65" i="4" a="1"/>
  <c r="B65" i="4" a="1"/>
  <c r="J64" i="4" a="1"/>
  <c r="B64" i="4" a="1"/>
  <c r="J61" i="4" a="1"/>
  <c r="B61" i="4" a="1"/>
  <c r="J60" i="4" a="1"/>
  <c r="B60" i="4" a="1"/>
  <c r="O61" i="4" l="1" a="1"/>
  <c r="O60" i="4" a="1"/>
  <c r="DU35" i="1"/>
  <c r="DV35" i="1"/>
  <c r="O78" i="4" s="1" a="1"/>
  <c r="DU36" i="1"/>
  <c r="DV36" i="1"/>
  <c r="K56" i="4" a="1"/>
  <c r="L56" i="4" a="1"/>
  <c r="K8" i="7"/>
  <c r="R10" i="7" s="1"/>
  <c r="U6" i="7"/>
  <c r="T8" i="7"/>
  <c r="T6" i="7"/>
  <c r="S8" i="7"/>
  <c r="S6" i="7"/>
  <c r="R8" i="7"/>
  <c r="U9" i="7"/>
  <c r="T9" i="7"/>
  <c r="R6" i="7"/>
  <c r="Q7" i="7"/>
  <c r="U7" i="7"/>
  <c r="U10" i="7"/>
  <c r="T7" i="7"/>
  <c r="S7" i="7"/>
  <c r="R7" i="7"/>
  <c r="J6" i="7"/>
  <c r="Q8" i="7"/>
  <c r="S9" i="7"/>
  <c r="R9" i="7"/>
  <c r="Q6" i="7"/>
  <c r="N43" i="7"/>
  <c r="N45" i="7"/>
  <c r="N41" i="7"/>
  <c r="N44" i="7"/>
  <c r="N40" i="7"/>
  <c r="N46" i="7"/>
  <c r="N42" i="7"/>
  <c r="N38" i="7"/>
  <c r="N11" i="4"/>
  <c r="K54" i="4" a="1"/>
  <c r="L54" i="4" a="1"/>
  <c r="K55" i="4" a="1"/>
  <c r="L55" i="4" a="1"/>
  <c r="AU113" i="5"/>
  <c r="DV2" i="1"/>
  <c r="DV6" i="1"/>
  <c r="O36" i="4" s="1" a="1"/>
  <c r="DV10" i="1"/>
  <c r="DV3" i="1"/>
  <c r="DV7" i="1"/>
  <c r="O40" i="4" s="1" a="1"/>
  <c r="N39" i="7"/>
  <c r="DV4" i="1"/>
  <c r="O25" i="4" s="1" a="1"/>
  <c r="DV8" i="1"/>
  <c r="DV26" i="1"/>
  <c r="O71" i="4" s="1" a="1"/>
  <c r="DV13" i="1"/>
  <c r="DV5" i="1"/>
  <c r="DV9" i="1"/>
  <c r="DV14" i="1"/>
  <c r="DV27" i="1"/>
  <c r="O72" i="4" s="1" a="1"/>
  <c r="DV15" i="1"/>
  <c r="O56" i="4" s="1" a="1"/>
  <c r="DV12" i="1"/>
  <c r="DV24" i="1"/>
  <c r="DW33" i="1"/>
  <c r="AU167" i="5"/>
  <c r="AU171" i="5"/>
  <c r="AU175" i="5"/>
  <c r="K10" i="7"/>
  <c r="M10" i="7"/>
  <c r="L6" i="7"/>
  <c r="M7" i="7"/>
  <c r="L10" i="7"/>
  <c r="J7" i="7"/>
  <c r="M9" i="7"/>
  <c r="J9" i="7"/>
  <c r="J8" i="7"/>
  <c r="J10" i="7"/>
  <c r="K6" i="7"/>
  <c r="L9" i="7"/>
  <c r="M8" i="7"/>
  <c r="T10" i="7" s="1"/>
  <c r="L7" i="7"/>
  <c r="K9" i="7"/>
  <c r="M6" i="7"/>
  <c r="L8" i="7"/>
  <c r="S10" i="7" s="1"/>
  <c r="K7" i="7"/>
  <c r="L15" i="7"/>
  <c r="L26" i="7" s="1"/>
  <c r="K15" i="7"/>
  <c r="AU166" i="5"/>
  <c r="AU170" i="5"/>
  <c r="AU172" i="5"/>
  <c r="AU174" i="5"/>
  <c r="AU178" i="5"/>
  <c r="AU180" i="5"/>
  <c r="L52" i="4" s="1" a="1"/>
  <c r="AU165" i="5"/>
  <c r="AU161" i="5"/>
  <c r="L53" i="4" a="1"/>
  <c r="K53" i="4" a="1"/>
  <c r="K52" i="4" a="1"/>
  <c r="AU74" i="5"/>
  <c r="AU39" i="5"/>
  <c r="AU96" i="5"/>
  <c r="AU92" i="5"/>
  <c r="AU88" i="5"/>
  <c r="AU70" i="5"/>
  <c r="AU64" i="5"/>
  <c r="AU80" i="5"/>
  <c r="AU152" i="5"/>
  <c r="AU133" i="5"/>
  <c r="AU129" i="5"/>
  <c r="AU112" i="5"/>
  <c r="AU108" i="5"/>
  <c r="AU104" i="5"/>
  <c r="AU28" i="5"/>
  <c r="AU150" i="5"/>
  <c r="AU146" i="5"/>
  <c r="AU135" i="5"/>
  <c r="AU131" i="5"/>
  <c r="AU127" i="5"/>
  <c r="AU210" i="5"/>
  <c r="L77" i="4" s="1" a="1"/>
  <c r="AU219" i="5"/>
  <c r="AU151" i="5"/>
  <c r="AU147" i="5"/>
  <c r="AU132" i="5"/>
  <c r="AU128" i="5"/>
  <c r="AU111" i="5"/>
  <c r="AU107" i="5"/>
  <c r="AU103" i="5"/>
  <c r="AU95" i="5"/>
  <c r="AU91" i="5"/>
  <c r="AU83" i="5"/>
  <c r="AU73" i="5"/>
  <c r="AU69" i="5"/>
  <c r="AU63" i="5"/>
  <c r="AU57" i="5"/>
  <c r="AU53" i="5"/>
  <c r="AU48" i="5"/>
  <c r="AU38" i="5"/>
  <c r="AU36" i="5"/>
  <c r="AU34" i="5"/>
  <c r="AU32" i="5"/>
  <c r="L13" i="4" s="1" a="1"/>
  <c r="AU30" i="5"/>
  <c r="AU201" i="5"/>
  <c r="AU110" i="5"/>
  <c r="AU106" i="5"/>
  <c r="AU102" i="5"/>
  <c r="AU98" i="5"/>
  <c r="AU94" i="5"/>
  <c r="AU90" i="5"/>
  <c r="AU82" i="5"/>
  <c r="AU72" i="5"/>
  <c r="AU68" i="5"/>
  <c r="AU60" i="5"/>
  <c r="AU56" i="5"/>
  <c r="AU149" i="5"/>
  <c r="AU145" i="5"/>
  <c r="AU134" i="5"/>
  <c r="AU109" i="5"/>
  <c r="AU105" i="5"/>
  <c r="AU101" i="5"/>
  <c r="AU97" i="5"/>
  <c r="AU89" i="5"/>
  <c r="AU81" i="5"/>
  <c r="AU71" i="5"/>
  <c r="AU67" i="5"/>
  <c r="AU59" i="5"/>
  <c r="AU55" i="5"/>
  <c r="AU49" i="5"/>
  <c r="AU47" i="5"/>
  <c r="AU37" i="5"/>
  <c r="AU35" i="5"/>
  <c r="AU33" i="5"/>
  <c r="L14" i="4" s="1" a="1"/>
  <c r="AU31" i="5"/>
  <c r="L12" i="4" s="1" a="1"/>
  <c r="AU29" i="5"/>
  <c r="L10" i="4" s="1" a="1"/>
  <c r="AU27" i="5"/>
  <c r="AU209" i="5"/>
  <c r="L40" i="4" l="1" a="1"/>
  <c r="S40" i="4" s="1"/>
  <c r="T40" i="4" s="1"/>
  <c r="O67" i="4" a="1"/>
  <c r="O65" i="4" a="1"/>
  <c r="N56" i="4"/>
  <c r="W8" i="7"/>
  <c r="W9" i="7"/>
  <c r="W6" i="7"/>
  <c r="Q56" i="4"/>
  <c r="S56" i="4"/>
  <c r="T56" i="4" s="1"/>
  <c r="W7" i="7"/>
  <c r="O55" i="4" a="1"/>
  <c r="Q55" i="4" s="1"/>
  <c r="R55" i="4" s="1"/>
  <c r="O54" i="4" a="1"/>
  <c r="S54" i="4" s="1"/>
  <c r="T54" i="4" s="1"/>
  <c r="O53" i="4" a="1"/>
  <c r="O14" i="4" a="1"/>
  <c r="S14" i="4" s="1"/>
  <c r="T14" i="4" s="1"/>
  <c r="O11" i="4" a="1"/>
  <c r="O13" i="4" a="1"/>
  <c r="S13" i="4" s="1"/>
  <c r="T13" i="4" s="1"/>
  <c r="O12" i="4" a="1"/>
  <c r="S12" i="4" s="1"/>
  <c r="T12" i="4" s="1"/>
  <c r="O9" i="4" a="1"/>
  <c r="O34" i="4" a="1"/>
  <c r="O52" i="4" a="1"/>
  <c r="Q52" i="4" s="1"/>
  <c r="O10" i="4" a="1"/>
  <c r="S10" i="4" s="1"/>
  <c r="T10" i="4" s="1"/>
  <c r="N55" i="4"/>
  <c r="N54" i="4"/>
  <c r="O66" i="4" a="1"/>
  <c r="O64" i="4" a="1"/>
  <c r="L36" i="4" a="1"/>
  <c r="S36" i="4" s="1"/>
  <c r="T36" i="4" s="1"/>
  <c r="L25" i="4" a="1"/>
  <c r="L34" i="4" a="1"/>
  <c r="N52" i="4"/>
  <c r="N53" i="4"/>
  <c r="O6" i="7"/>
  <c r="O9" i="7"/>
  <c r="O10" i="7"/>
  <c r="O7" i="7"/>
  <c r="Q10" i="7"/>
  <c r="W10" i="7" s="1"/>
  <c r="O8" i="7"/>
  <c r="L21" i="7"/>
  <c r="L25" i="7"/>
  <c r="L22" i="7"/>
  <c r="L19" i="7"/>
  <c r="L23" i="7"/>
  <c r="L16" i="7"/>
  <c r="L18" i="7"/>
  <c r="L17" i="7"/>
  <c r="L20" i="7"/>
  <c r="L24" i="7"/>
  <c r="K20" i="7"/>
  <c r="K24" i="7"/>
  <c r="K26" i="7"/>
  <c r="K16" i="7"/>
  <c r="N16" i="7"/>
  <c r="N17" i="7" s="1"/>
  <c r="N18" i="7" s="1"/>
  <c r="N19" i="7" s="1"/>
  <c r="N20" i="7" s="1"/>
  <c r="N21" i="7" s="1"/>
  <c r="N22" i="7" s="1"/>
  <c r="N23" i="7" s="1"/>
  <c r="N24" i="7" s="1"/>
  <c r="N25" i="7" s="1"/>
  <c r="N26" i="7" s="1"/>
  <c r="K23" i="7"/>
  <c r="K25" i="7"/>
  <c r="K21" i="7"/>
  <c r="K17" i="7"/>
  <c r="K19" i="7"/>
  <c r="K22" i="7"/>
  <c r="K18" i="7"/>
  <c r="S76" i="4" l="1"/>
  <c r="T76" i="4" s="1"/>
  <c r="S74" i="4"/>
  <c r="T74" i="4" s="1"/>
  <c r="S78" i="4"/>
  <c r="T78" i="4" s="1"/>
  <c r="S75" i="4"/>
  <c r="T75" i="4" s="1"/>
  <c r="S73" i="4"/>
  <c r="T73" i="4" s="1"/>
  <c r="S77" i="4"/>
  <c r="T77" i="4" s="1"/>
  <c r="S72" i="4"/>
  <c r="T72" i="4" s="1"/>
  <c r="S71" i="4"/>
  <c r="T71" i="4" s="1"/>
  <c r="Q54" i="4"/>
  <c r="U56" i="4"/>
  <c r="V56" i="4" s="1"/>
  <c r="R56" i="4"/>
  <c r="S55" i="4"/>
  <c r="U55" i="4" s="1"/>
  <c r="V55" i="4" s="1"/>
  <c r="S11" i="4"/>
  <c r="T11" i="4" s="1"/>
  <c r="Q11" i="4"/>
  <c r="S34" i="4"/>
  <c r="T34" i="4" s="1"/>
  <c r="S9" i="4"/>
  <c r="T9" i="4" s="1"/>
  <c r="S52" i="4"/>
  <c r="U52" i="4" s="1"/>
  <c r="R52" i="4"/>
  <c r="S53" i="4"/>
  <c r="T53" i="4" s="1"/>
  <c r="Q53" i="4"/>
  <c r="S25" i="4"/>
  <c r="T25" i="4" s="1"/>
  <c r="AT66" i="5"/>
  <c r="AS66" i="5"/>
  <c r="AT65" i="5"/>
  <c r="AS65" i="5"/>
  <c r="AT48" i="5"/>
  <c r="AT147" i="5"/>
  <c r="AS150" i="5"/>
  <c r="AS201" i="5"/>
  <c r="AS218" i="5"/>
  <c r="AT223" i="5"/>
  <c r="AS223" i="5"/>
  <c r="AT221" i="5"/>
  <c r="AS221" i="5"/>
  <c r="AT220" i="5"/>
  <c r="AS220" i="5"/>
  <c r="AT219" i="5"/>
  <c r="AS219" i="5"/>
  <c r="AT218" i="5"/>
  <c r="AT213" i="5"/>
  <c r="AS213" i="5"/>
  <c r="AT211" i="5"/>
  <c r="AS211" i="5"/>
  <c r="AT210" i="5"/>
  <c r="AS210" i="5"/>
  <c r="AT209" i="5"/>
  <c r="AS209" i="5"/>
  <c r="AQ208" i="5"/>
  <c r="AP208" i="5"/>
  <c r="AO208" i="5"/>
  <c r="AN208" i="5"/>
  <c r="AM208" i="5"/>
  <c r="AL208" i="5"/>
  <c r="AK208" i="5"/>
  <c r="AJ208" i="5"/>
  <c r="AI208" i="5"/>
  <c r="AU208" i="5" s="1"/>
  <c r="L67" i="4" s="1" a="1"/>
  <c r="S67" i="4" s="1"/>
  <c r="T67" i="4" s="1"/>
  <c r="AH208" i="5"/>
  <c r="AT208" i="5" s="1"/>
  <c r="AG208" i="5"/>
  <c r="AS208" i="5" s="1"/>
  <c r="AF208" i="5"/>
  <c r="AE208" i="5"/>
  <c r="AD208" i="5"/>
  <c r="AC208" i="5"/>
  <c r="AB208" i="5"/>
  <c r="AA208" i="5"/>
  <c r="Z208" i="5"/>
  <c r="Y208" i="5"/>
  <c r="X208" i="5"/>
  <c r="W208" i="5"/>
  <c r="V208" i="5"/>
  <c r="AT201" i="5"/>
  <c r="J29" i="4" a="1"/>
  <c r="O29" i="4" s="1" a="1"/>
  <c r="I29" i="4" a="1"/>
  <c r="G29" i="4" a="1"/>
  <c r="E29" i="4" a="1"/>
  <c r="B29" i="4" a="1"/>
  <c r="J28" i="4" a="1"/>
  <c r="O28" i="4" s="1" a="1"/>
  <c r="I28" i="4" a="1"/>
  <c r="G28" i="4" a="1"/>
  <c r="E28" i="4" a="1"/>
  <c r="B28" i="4" a="1"/>
  <c r="J35" i="4" a="1"/>
  <c r="O35" i="4" s="1" a="1"/>
  <c r="I35" i="4" a="1"/>
  <c r="G35" i="4" a="1"/>
  <c r="E35" i="4" a="1"/>
  <c r="B35" i="4" a="1"/>
  <c r="AT151" i="5"/>
  <c r="AS151" i="5"/>
  <c r="AT150" i="5"/>
  <c r="AT149" i="5"/>
  <c r="AS149" i="5"/>
  <c r="AS148" i="5"/>
  <c r="AT148" i="5"/>
  <c r="AS147" i="5"/>
  <c r="AT146" i="5"/>
  <c r="AS146" i="5"/>
  <c r="AT145" i="5"/>
  <c r="AS145" i="5"/>
  <c r="AT49" i="5"/>
  <c r="AS49" i="5"/>
  <c r="AS48" i="5"/>
  <c r="AT47" i="5"/>
  <c r="AS47" i="5"/>
  <c r="J18" i="4" a="1"/>
  <c r="O18" i="4" s="1" a="1"/>
  <c r="I18" i="4" a="1"/>
  <c r="G18" i="4" a="1"/>
  <c r="E18" i="4" a="1"/>
  <c r="B18" i="4" a="1"/>
  <c r="J17" i="4" a="1"/>
  <c r="O17" i="4" s="1" a="1"/>
  <c r="I17" i="4" a="1"/>
  <c r="G17" i="4" a="1"/>
  <c r="E17" i="4" a="1"/>
  <c r="B17" i="4" a="1"/>
  <c r="K77" i="4" l="1" a="1"/>
  <c r="R54" i="4"/>
  <c r="U54" i="4"/>
  <c r="V54" i="4" s="1"/>
  <c r="T55" i="4"/>
  <c r="R11" i="4"/>
  <c r="U11" i="4"/>
  <c r="V11" i="4" s="1"/>
  <c r="U53" i="4"/>
  <c r="V53" i="4" s="1"/>
  <c r="K67" i="4" a="1"/>
  <c r="N67" i="4" s="1"/>
  <c r="V52" i="4"/>
  <c r="T52" i="4"/>
  <c r="R53" i="4"/>
  <c r="K61" i="4" a="1"/>
  <c r="Q61" i="4" s="1"/>
  <c r="K60" i="4" a="1"/>
  <c r="Q60" i="4" s="1"/>
  <c r="K17" i="4" a="1"/>
  <c r="L60" i="4" a="1"/>
  <c r="L61" i="4" a="1"/>
  <c r="K65" i="4" a="1"/>
  <c r="Q65" i="4" s="1"/>
  <c r="L66" i="4" a="1"/>
  <c r="L64" i="4" a="1"/>
  <c r="L65" i="4" a="1"/>
  <c r="K66" i="4" a="1"/>
  <c r="Q66" i="4" s="1"/>
  <c r="K64" i="4" a="1"/>
  <c r="Q64" i="4" s="1"/>
  <c r="L18" i="4" a="1"/>
  <c r="K18" i="4" a="1"/>
  <c r="L17" i="4" a="1"/>
  <c r="AT135" i="5"/>
  <c r="AS135" i="5"/>
  <c r="AS127" i="5"/>
  <c r="AT127" i="5"/>
  <c r="AS129" i="5"/>
  <c r="AT129" i="5"/>
  <c r="J48" i="4" a="1"/>
  <c r="O48" i="4" s="1" a="1"/>
  <c r="I48" i="4" a="1"/>
  <c r="G48" i="4" a="1"/>
  <c r="E48" i="4" a="1"/>
  <c r="B48" i="4" a="1"/>
  <c r="AT152" i="5"/>
  <c r="AS152" i="5"/>
  <c r="J44" i="4" a="1"/>
  <c r="O44" i="4" s="1" a="1"/>
  <c r="I44" i="4" a="1"/>
  <c r="G44" i="4" a="1"/>
  <c r="E44" i="4" a="1"/>
  <c r="B44" i="4" a="1"/>
  <c r="J43" i="4" a="1"/>
  <c r="O43" i="4" s="1" a="1"/>
  <c r="I43" i="4" a="1"/>
  <c r="G43" i="4" a="1"/>
  <c r="E43" i="4" a="1"/>
  <c r="B43" i="4" a="1"/>
  <c r="AT134" i="5"/>
  <c r="AS134" i="5"/>
  <c r="AT133" i="5"/>
  <c r="AS133" i="5"/>
  <c r="AT132" i="5"/>
  <c r="AS132" i="5"/>
  <c r="AT131" i="5"/>
  <c r="AS131" i="5"/>
  <c r="AT130" i="5"/>
  <c r="AS130" i="5"/>
  <c r="AT128" i="5"/>
  <c r="AS128" i="5"/>
  <c r="DT10" i="1"/>
  <c r="DT9" i="1"/>
  <c r="DR9" i="1"/>
  <c r="DR10" i="1"/>
  <c r="DT8" i="1"/>
  <c r="DR8" i="1"/>
  <c r="Q78" i="4" l="1"/>
  <c r="N78" i="4"/>
  <c r="Q73" i="4"/>
  <c r="N73" i="4"/>
  <c r="Q72" i="4"/>
  <c r="N72" i="4"/>
  <c r="Q74" i="4"/>
  <c r="N74" i="4"/>
  <c r="Q77" i="4"/>
  <c r="N77" i="4"/>
  <c r="Q75" i="4"/>
  <c r="N75" i="4"/>
  <c r="Q76" i="4"/>
  <c r="N76" i="4"/>
  <c r="Q71" i="4"/>
  <c r="N71" i="4"/>
  <c r="Q67" i="4"/>
  <c r="U67" i="4" s="1"/>
  <c r="N17" i="4"/>
  <c r="N65" i="4"/>
  <c r="N64" i="4"/>
  <c r="S61" i="4"/>
  <c r="T61" i="4" s="1"/>
  <c r="N61" i="4"/>
  <c r="N66" i="4"/>
  <c r="N18" i="4"/>
  <c r="S60" i="4"/>
  <c r="T60" i="4" s="1"/>
  <c r="N60" i="4"/>
  <c r="R60" i="4"/>
  <c r="R65" i="4"/>
  <c r="S65" i="4"/>
  <c r="U65" i="4" s="1"/>
  <c r="R64" i="4"/>
  <c r="S66" i="4"/>
  <c r="U66" i="4" s="1"/>
  <c r="R66" i="4"/>
  <c r="S64" i="4"/>
  <c r="U64" i="4" s="1"/>
  <c r="R61" i="4"/>
  <c r="Q18" i="4"/>
  <c r="S18" i="4"/>
  <c r="T18" i="4" s="1"/>
  <c r="Q17" i="4"/>
  <c r="U74" i="4" l="1"/>
  <c r="V74" i="4" s="1"/>
  <c r="R74" i="4"/>
  <c r="U73" i="4"/>
  <c r="V73" i="4" s="1"/>
  <c r="R73" i="4"/>
  <c r="U71" i="4"/>
  <c r="V71" i="4" s="1"/>
  <c r="R71" i="4"/>
  <c r="R76" i="4"/>
  <c r="U76" i="4"/>
  <c r="V76" i="4" s="1"/>
  <c r="R77" i="4"/>
  <c r="U77" i="4"/>
  <c r="V77" i="4" s="1"/>
  <c r="R75" i="4"/>
  <c r="U75" i="4"/>
  <c r="V75" i="4" s="1"/>
  <c r="R72" i="4"/>
  <c r="U72" i="4"/>
  <c r="V72" i="4" s="1"/>
  <c r="U78" i="4"/>
  <c r="V78" i="4" s="1"/>
  <c r="R78" i="4"/>
  <c r="U18" i="4"/>
  <c r="V18" i="4" s="1"/>
  <c r="U60" i="4"/>
  <c r="V60" i="4" s="1"/>
  <c r="U61" i="4"/>
  <c r="V61" i="4" s="1"/>
  <c r="V67" i="4"/>
  <c r="R67" i="4"/>
  <c r="V66" i="4"/>
  <c r="T66" i="4"/>
  <c r="V64" i="4"/>
  <c r="T64" i="4"/>
  <c r="V65" i="4"/>
  <c r="T65" i="4"/>
  <c r="R18" i="4"/>
  <c r="R17" i="4"/>
  <c r="S17" i="4"/>
  <c r="U17" i="4" s="1"/>
  <c r="V17" i="4" l="1"/>
  <c r="T17" i="4"/>
  <c r="S66" i="3"/>
  <c r="S67" i="3"/>
  <c r="S68" i="3"/>
  <c r="S69" i="3"/>
  <c r="S70" i="3"/>
  <c r="S64" i="3"/>
  <c r="S65" i="3"/>
  <c r="A219" i="5"/>
  <c r="A220" i="5"/>
  <c r="A213" i="5"/>
  <c r="A218" i="5"/>
  <c r="A202" i="5"/>
  <c r="A203" i="5"/>
  <c r="A209" i="5"/>
  <c r="A210" i="5"/>
  <c r="C210" i="5"/>
  <c r="A211" i="5"/>
  <c r="A212" i="5"/>
  <c r="A201" i="5"/>
  <c r="S58" i="3"/>
  <c r="S59" i="3"/>
  <c r="S60" i="3"/>
  <c r="S62" i="3"/>
  <c r="S61" i="3"/>
  <c r="J39" i="4" a="1"/>
  <c r="O39" i="4" s="1" a="1"/>
  <c r="I39" i="4" a="1"/>
  <c r="G39" i="4" a="1"/>
  <c r="E39" i="4" a="1"/>
  <c r="B39" i="4" a="1"/>
  <c r="J8" i="4" a="1"/>
  <c r="O8" i="4" s="1" a="1"/>
  <c r="I8" i="4" a="1"/>
  <c r="G8" i="4" a="1"/>
  <c r="E8" i="4" a="1"/>
  <c r="B8" i="4" a="1"/>
  <c r="AS106" i="5"/>
  <c r="AS104" i="5"/>
  <c r="AS102" i="5"/>
  <c r="AT97" i="5"/>
  <c r="AT95" i="5"/>
  <c r="AT91" i="5"/>
  <c r="AT89" i="5"/>
  <c r="AT83" i="5"/>
  <c r="AT81" i="5"/>
  <c r="AT38" i="5"/>
  <c r="AS37" i="5"/>
  <c r="AT36" i="5"/>
  <c r="AT34" i="5"/>
  <c r="AT32" i="5"/>
  <c r="AT30" i="5"/>
  <c r="AS30" i="5"/>
  <c r="AT28" i="5"/>
  <c r="AT26" i="5"/>
  <c r="AT53" i="5"/>
  <c r="AT56" i="5"/>
  <c r="AS58" i="5"/>
  <c r="AT59" i="5"/>
  <c r="AS59" i="5"/>
  <c r="AS63" i="5"/>
  <c r="AS67" i="5"/>
  <c r="AS69" i="5"/>
  <c r="AS71" i="5"/>
  <c r="AT73" i="5"/>
  <c r="AS73" i="5"/>
  <c r="J22" i="4" a="1"/>
  <c r="O22" i="4" s="1" a="1"/>
  <c r="I22" i="4" a="1"/>
  <c r="G22" i="4" a="1"/>
  <c r="E22" i="4" a="1"/>
  <c r="B22" i="4" a="1"/>
  <c r="J33" i="4" a="1"/>
  <c r="O33" i="4" s="1" a="1"/>
  <c r="I33" i="4" a="1"/>
  <c r="G33" i="4" a="1"/>
  <c r="E33" i="4" a="1"/>
  <c r="B33" i="4" a="1"/>
  <c r="J32" i="4" a="1"/>
  <c r="O32" i="4" s="1" a="1"/>
  <c r="I32" i="4" a="1"/>
  <c r="G32" i="4" a="1"/>
  <c r="E32" i="4" a="1"/>
  <c r="B32" i="4" a="1"/>
  <c r="DT3" i="1"/>
  <c r="DT4" i="1"/>
  <c r="DT5" i="1"/>
  <c r="DT6" i="1"/>
  <c r="DT7" i="1"/>
  <c r="DT2" i="1"/>
  <c r="DR3" i="1"/>
  <c r="DR4" i="1"/>
  <c r="DR5" i="1"/>
  <c r="DR6" i="1"/>
  <c r="DR7" i="1"/>
  <c r="DR2" i="1"/>
  <c r="J24" i="4" a="1"/>
  <c r="O24" i="4" s="1" a="1"/>
  <c r="G7" i="4" a="1"/>
  <c r="G6" i="4" a="1"/>
  <c r="E7" i="4" a="1"/>
  <c r="E6" i="4" a="1"/>
  <c r="E24" i="4" a="1"/>
  <c r="E23" i="4" a="1"/>
  <c r="E21" i="4" a="1"/>
  <c r="G24" i="4" a="1"/>
  <c r="G23" i="4" a="1"/>
  <c r="G21" i="4" a="1"/>
  <c r="I24" i="4" a="1"/>
  <c r="I23" i="4" a="1"/>
  <c r="I21" i="4" a="1"/>
  <c r="I7" i="4" a="1"/>
  <c r="I6" i="4" a="1"/>
  <c r="J23" i="4" a="1"/>
  <c r="O23" i="4" s="1" a="1"/>
  <c r="J21" i="4" a="1"/>
  <c r="O21" i="4" s="1" a="1"/>
  <c r="J7" i="4" a="1"/>
  <c r="O7" i="4" s="1" a="1"/>
  <c r="J6" i="4" a="1"/>
  <c r="O6" i="4" s="1" a="1"/>
  <c r="B24" i="4" a="1"/>
  <c r="B23" i="4" a="1"/>
  <c r="B21" i="4" a="1"/>
  <c r="B7" i="4" a="1"/>
  <c r="B6" i="4" a="1"/>
  <c r="L28" i="4" a="1"/>
  <c r="AT121" i="5"/>
  <c r="AS121" i="5"/>
  <c r="AT112" i="5"/>
  <c r="AS112" i="5"/>
  <c r="AT111" i="5"/>
  <c r="AS111" i="5"/>
  <c r="AT110" i="5"/>
  <c r="AS110" i="5"/>
  <c r="AT109" i="5"/>
  <c r="AS109" i="5"/>
  <c r="AT108" i="5"/>
  <c r="AS108" i="5"/>
  <c r="AT107" i="5"/>
  <c r="AS107" i="5"/>
  <c r="AT106" i="5"/>
  <c r="AT105" i="5"/>
  <c r="AS105" i="5"/>
  <c r="AT104" i="5"/>
  <c r="AT103" i="5"/>
  <c r="AS103" i="5"/>
  <c r="AT102" i="5"/>
  <c r="AT101" i="5"/>
  <c r="AS101" i="5"/>
  <c r="AT100" i="5"/>
  <c r="AS100" i="5"/>
  <c r="AT99" i="5"/>
  <c r="AS99" i="5"/>
  <c r="AT98" i="5"/>
  <c r="AS98" i="5"/>
  <c r="AS97" i="5"/>
  <c r="AT96" i="5"/>
  <c r="AS96" i="5"/>
  <c r="AS95" i="5"/>
  <c r="AT94" i="5"/>
  <c r="AS94" i="5"/>
  <c r="AT93" i="5"/>
  <c r="AS93" i="5"/>
  <c r="AT92" i="5"/>
  <c r="AS92" i="5"/>
  <c r="AS91" i="5"/>
  <c r="AT90" i="5"/>
  <c r="AS90" i="5"/>
  <c r="AS89" i="5"/>
  <c r="AT88" i="5"/>
  <c r="AS88" i="5"/>
  <c r="AS83" i="5"/>
  <c r="AT82" i="5"/>
  <c r="AS82" i="5"/>
  <c r="AS81" i="5"/>
  <c r="AT80" i="5"/>
  <c r="AS80" i="5"/>
  <c r="AS38" i="5"/>
  <c r="AT37" i="5"/>
  <c r="AS36" i="5"/>
  <c r="AT35" i="5"/>
  <c r="AS35" i="5"/>
  <c r="AS34" i="5"/>
  <c r="AT33" i="5"/>
  <c r="AS33" i="5"/>
  <c r="K14" i="4" s="1" a="1"/>
  <c r="AS32" i="5"/>
  <c r="K13" i="4" s="1" a="1"/>
  <c r="AT31" i="5"/>
  <c r="AS31" i="5"/>
  <c r="K12" i="4" s="1" a="1"/>
  <c r="AT29" i="5"/>
  <c r="AS29" i="5"/>
  <c r="K10" i="4" s="1" a="1"/>
  <c r="N10" i="4" s="1"/>
  <c r="AS28" i="5"/>
  <c r="AT27" i="5"/>
  <c r="AS27" i="5"/>
  <c r="AS26" i="5"/>
  <c r="K9" i="4" s="1" a="1"/>
  <c r="N9" i="4" s="1"/>
  <c r="AS60" i="5"/>
  <c r="AT60" i="5"/>
  <c r="AT63" i="5"/>
  <c r="AS64" i="5"/>
  <c r="AT64" i="5"/>
  <c r="AT67" i="5"/>
  <c r="AS68" i="5"/>
  <c r="AT68" i="5"/>
  <c r="AT69" i="5"/>
  <c r="AS70" i="5"/>
  <c r="AT70" i="5"/>
  <c r="AT71" i="5"/>
  <c r="AS72" i="5"/>
  <c r="AT72" i="5"/>
  <c r="AS53" i="5"/>
  <c r="AS54" i="5"/>
  <c r="AT54" i="5"/>
  <c r="AS55" i="5"/>
  <c r="AT55" i="5"/>
  <c r="AS56" i="5"/>
  <c r="AT57" i="5"/>
  <c r="AT58" i="5"/>
  <c r="D24" i="7"/>
  <c r="E24" i="7" s="1"/>
  <c r="D25" i="7"/>
  <c r="E25" i="7" s="1"/>
  <c r="D26" i="7"/>
  <c r="E26" i="7" s="1"/>
  <c r="D27" i="7"/>
  <c r="E27" i="7" s="1"/>
  <c r="D28" i="7"/>
  <c r="E28" i="7" s="1"/>
  <c r="D29" i="7"/>
  <c r="E29" i="7" s="1"/>
  <c r="D30" i="7"/>
  <c r="E30" i="7" s="1"/>
  <c r="D31" i="7"/>
  <c r="E31" i="7" s="1"/>
  <c r="D6" i="7"/>
  <c r="E6" i="7" s="1"/>
  <c r="D7" i="7"/>
  <c r="E7" i="7" s="1"/>
  <c r="D8" i="7"/>
  <c r="E8" i="7" s="1"/>
  <c r="D9" i="7"/>
  <c r="E9" i="7" s="1"/>
  <c r="D10" i="7"/>
  <c r="E10" i="7" s="1"/>
  <c r="D11" i="7"/>
  <c r="E11" i="7" s="1"/>
  <c r="D12" i="7"/>
  <c r="E12" i="7" s="1"/>
  <c r="D13" i="7"/>
  <c r="E13" i="7" s="1"/>
  <c r="D14" i="7"/>
  <c r="E14" i="7" s="1"/>
  <c r="D15" i="7"/>
  <c r="E15" i="7" s="1"/>
  <c r="D16" i="7"/>
  <c r="E16" i="7" s="1"/>
  <c r="D17" i="7"/>
  <c r="E17" i="7" s="1"/>
  <c r="D18" i="7"/>
  <c r="E18" i="7" s="1"/>
  <c r="D19" i="7"/>
  <c r="E19" i="7" s="1"/>
  <c r="D20" i="7"/>
  <c r="E20" i="7" s="1"/>
  <c r="D21" i="7"/>
  <c r="E21" i="7" s="1"/>
  <c r="D22" i="7"/>
  <c r="E22" i="7" s="1"/>
  <c r="D23" i="7"/>
  <c r="E23" i="7" s="1"/>
  <c r="D5" i="7"/>
  <c r="E5" i="7" s="1"/>
  <c r="D4" i="7"/>
  <c r="E4" i="7" s="1"/>
  <c r="I77" i="4" l="1" a="1"/>
  <c r="E77" i="4" a="1"/>
  <c r="G77" i="4" a="1"/>
  <c r="I67" i="4" a="1"/>
  <c r="K40" i="4" a="1"/>
  <c r="Q40" i="4" s="1"/>
  <c r="Q12" i="4"/>
  <c r="N12" i="4"/>
  <c r="Q13" i="4"/>
  <c r="N13" i="4"/>
  <c r="Q14" i="4"/>
  <c r="N14" i="4"/>
  <c r="G66" i="4" a="1"/>
  <c r="K36" i="4" a="1"/>
  <c r="N36" i="4" s="1"/>
  <c r="K25" i="4" a="1"/>
  <c r="N25" i="4" s="1"/>
  <c r="E67" i="4" a="1"/>
  <c r="G67" i="4" a="1"/>
  <c r="K34" i="4" a="1"/>
  <c r="N34" i="4" s="1"/>
  <c r="K29" i="4" a="1"/>
  <c r="Q29" i="4" s="1"/>
  <c r="G65" i="4" a="1"/>
  <c r="Q9" i="4"/>
  <c r="U9" i="4" s="1"/>
  <c r="Q10" i="4"/>
  <c r="U10" i="4" s="1"/>
  <c r="I61" i="4" a="1"/>
  <c r="I60" i="4" a="1"/>
  <c r="G64" i="4" a="1"/>
  <c r="E66" i="4" a="1"/>
  <c r="E65" i="4" a="1"/>
  <c r="E64" i="4" a="1"/>
  <c r="G60" i="4" a="1"/>
  <c r="E60" i="4" a="1"/>
  <c r="I65" i="4" a="1"/>
  <c r="I66" i="4" a="1"/>
  <c r="I64" i="4" a="1"/>
  <c r="G61" i="4" a="1"/>
  <c r="E61" i="4" a="1"/>
  <c r="K35" i="4" a="1"/>
  <c r="Q35" i="4" s="1"/>
  <c r="L29" i="4" a="1"/>
  <c r="K28" i="4" a="1"/>
  <c r="Q28" i="4" s="1"/>
  <c r="S28" i="4"/>
  <c r="T28" i="4" s="1"/>
  <c r="K8" i="4" a="1"/>
  <c r="Q8" i="4" s="1"/>
  <c r="K48" i="4" a="1"/>
  <c r="Q48" i="4" s="1"/>
  <c r="K44" i="4" a="1"/>
  <c r="Q44" i="4" s="1"/>
  <c r="K43" i="4" a="1"/>
  <c r="Q43" i="4" s="1"/>
  <c r="K39" i="4" a="1"/>
  <c r="K32" i="4" a="1"/>
  <c r="K7" i="4" a="1"/>
  <c r="K23" i="4" a="1"/>
  <c r="L33" i="4" a="1"/>
  <c r="K33" i="4" a="1"/>
  <c r="K22" i="4" a="1"/>
  <c r="L8" i="4" a="1"/>
  <c r="K6" i="4" a="1"/>
  <c r="L23" i="4" a="1"/>
  <c r="L22" i="4" a="1"/>
  <c r="L35" i="4" a="1"/>
  <c r="L32" i="4" a="1"/>
  <c r="K24" i="4" a="1"/>
  <c r="K21" i="4" a="1"/>
  <c r="N40" i="4" l="1"/>
  <c r="U40" i="4"/>
  <c r="V40" i="4" s="1"/>
  <c r="R40" i="4"/>
  <c r="U14" i="4"/>
  <c r="V14" i="4" s="1"/>
  <c r="R14" i="4"/>
  <c r="U13" i="4"/>
  <c r="V13" i="4" s="1"/>
  <c r="R13" i="4"/>
  <c r="U12" i="4"/>
  <c r="V12" i="4" s="1"/>
  <c r="R12" i="4"/>
  <c r="U28" i="4"/>
  <c r="V28" i="4" s="1"/>
  <c r="Q36" i="4"/>
  <c r="U36" i="4" s="1"/>
  <c r="V36" i="4" s="1"/>
  <c r="N22" i="4"/>
  <c r="Q25" i="4"/>
  <c r="N29" i="4"/>
  <c r="N23" i="4"/>
  <c r="N33" i="4"/>
  <c r="N32" i="4"/>
  <c r="N35" i="4"/>
  <c r="N8" i="4"/>
  <c r="N28" i="4"/>
  <c r="V9" i="4"/>
  <c r="R29" i="4"/>
  <c r="V10" i="4"/>
  <c r="Q34" i="4"/>
  <c r="U34" i="4" s="1"/>
  <c r="R9" i="4"/>
  <c r="R10" i="4"/>
  <c r="R35" i="4"/>
  <c r="S29" i="4"/>
  <c r="T29" i="4" s="1"/>
  <c r="R28" i="4"/>
  <c r="S35" i="4"/>
  <c r="U35" i="4" s="1"/>
  <c r="R48" i="4"/>
  <c r="R43" i="4"/>
  <c r="L39" i="4" a="1"/>
  <c r="L44" i="4" a="1"/>
  <c r="N44" i="4" s="1"/>
  <c r="L48" i="4" a="1"/>
  <c r="N48" i="4" s="1"/>
  <c r="L43" i="4" a="1"/>
  <c r="N43" i="4" s="1"/>
  <c r="R44" i="4"/>
  <c r="Q23" i="4"/>
  <c r="Q6" i="4"/>
  <c r="Q7" i="4"/>
  <c r="Q21" i="4"/>
  <c r="Q24" i="4"/>
  <c r="Q32" i="4"/>
  <c r="S8" i="4"/>
  <c r="U8" i="4" s="1"/>
  <c r="Q39" i="4"/>
  <c r="Q22" i="4"/>
  <c r="Q33" i="4"/>
  <c r="S33" i="4"/>
  <c r="T33" i="4" s="1"/>
  <c r="R8" i="4"/>
  <c r="S32" i="4"/>
  <c r="T32" i="4" s="1"/>
  <c r="L21" i="4" a="1"/>
  <c r="N21" i="4" s="1"/>
  <c r="S22" i="4"/>
  <c r="T22" i="4" s="1"/>
  <c r="L24" i="4" a="1"/>
  <c r="N24" i="4" s="1"/>
  <c r="L7" i="4" a="1"/>
  <c r="N7" i="4" s="1"/>
  <c r="L6" i="4" a="1"/>
  <c r="N6" i="4" s="1"/>
  <c r="R36" i="4" l="1"/>
  <c r="U33" i="4"/>
  <c r="V33" i="4" s="1"/>
  <c r="U22" i="4"/>
  <c r="V22" i="4" s="1"/>
  <c r="U32" i="4"/>
  <c r="V32" i="4" s="1"/>
  <c r="U25" i="4"/>
  <c r="V25" i="4" s="1"/>
  <c r="U29" i="4"/>
  <c r="V29" i="4" s="1"/>
  <c r="R25" i="4"/>
  <c r="V8" i="4"/>
  <c r="T8" i="4"/>
  <c r="V35" i="4"/>
  <c r="T35" i="4"/>
  <c r="S39" i="4"/>
  <c r="T39" i="4" s="1"/>
  <c r="N39" i="4"/>
  <c r="R34" i="4"/>
  <c r="V34" i="4"/>
  <c r="R22" i="4"/>
  <c r="R6" i="4"/>
  <c r="R39" i="4"/>
  <c r="R23" i="4"/>
  <c r="R32" i="4"/>
  <c r="R33" i="4"/>
  <c r="R7" i="4"/>
  <c r="S48" i="4"/>
  <c r="U48" i="4" s="1"/>
  <c r="S44" i="4"/>
  <c r="U44" i="4" s="1"/>
  <c r="S43" i="4"/>
  <c r="U43" i="4" s="1"/>
  <c r="S21" i="4"/>
  <c r="U21" i="4" s="1"/>
  <c r="S23" i="4"/>
  <c r="U23" i="4" s="1"/>
  <c r="S24" i="4"/>
  <c r="U24" i="4" s="1"/>
  <c r="R24" i="4"/>
  <c r="S6" i="4"/>
  <c r="U6" i="4" s="1"/>
  <c r="R21" i="4"/>
  <c r="S7" i="4"/>
  <c r="T7" i="4" s="1"/>
  <c r="U39" i="4" l="1"/>
  <c r="V39" i="4" s="1"/>
  <c r="U7" i="4"/>
  <c r="V7" i="4" s="1"/>
  <c r="V24" i="4"/>
  <c r="T24" i="4"/>
  <c r="V44" i="4"/>
  <c r="T44" i="4"/>
  <c r="V23" i="4"/>
  <c r="T23" i="4"/>
  <c r="V48" i="4"/>
  <c r="T48" i="4"/>
  <c r="V6" i="4"/>
  <c r="T6" i="4"/>
  <c r="V21" i="4"/>
  <c r="T21" i="4"/>
  <c r="V43" i="4"/>
  <c r="T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 Fancy Man</author>
    <author>Richard Acock</author>
  </authors>
  <commentList>
    <comment ref="DB8" authorId="0" shapeId="0" xr:uid="{8BDA5B4F-62FE-4C87-BA07-D904F054A67F}">
      <text>
        <r>
          <rPr>
            <b/>
            <sz val="9"/>
            <color indexed="81"/>
            <rFont val="Tahoma"/>
            <family val="2"/>
          </rPr>
          <t>The Fancy Man:</t>
        </r>
        <r>
          <rPr>
            <sz val="9"/>
            <color indexed="81"/>
            <rFont val="Tahoma"/>
            <family val="2"/>
          </rPr>
          <t xml:space="preserve">
2 x Carapace Weapons</t>
        </r>
      </text>
    </comment>
    <comment ref="DC8" authorId="0" shapeId="0" xr:uid="{9B688647-5C75-4597-9379-C2EBE7BE948C}">
      <text>
        <r>
          <rPr>
            <b/>
            <sz val="9"/>
            <color indexed="81"/>
            <rFont val="Tahoma"/>
            <family val="2"/>
          </rPr>
          <t>The Fancy Man:</t>
        </r>
        <r>
          <rPr>
            <sz val="9"/>
            <color indexed="81"/>
            <rFont val="Tahoma"/>
            <family val="2"/>
          </rPr>
          <t xml:space="preserve">
2 x Carapace Weapons</t>
        </r>
      </text>
    </comment>
    <comment ref="DB9" authorId="0" shapeId="0" xr:uid="{B908386E-61C9-4F12-91F2-A973A2FD15BE}">
      <text>
        <r>
          <rPr>
            <b/>
            <sz val="9"/>
            <color indexed="81"/>
            <rFont val="Tahoma"/>
            <family val="2"/>
          </rPr>
          <t>The Fancy Man:</t>
        </r>
        <r>
          <rPr>
            <sz val="9"/>
            <color indexed="81"/>
            <rFont val="Tahoma"/>
            <family val="2"/>
          </rPr>
          <t xml:space="preserve">
2 x Carapace Weapons</t>
        </r>
      </text>
    </comment>
    <comment ref="DC9" authorId="0" shapeId="0" xr:uid="{78044D7E-3067-49BA-BE1C-AA8F42060984}">
      <text>
        <r>
          <rPr>
            <b/>
            <sz val="9"/>
            <color indexed="81"/>
            <rFont val="Tahoma"/>
            <family val="2"/>
          </rPr>
          <t>The Fancy Man:</t>
        </r>
        <r>
          <rPr>
            <sz val="9"/>
            <color indexed="81"/>
            <rFont val="Tahoma"/>
            <family val="2"/>
          </rPr>
          <t xml:space="preserve">
2 x Carapace Weapons</t>
        </r>
      </text>
    </comment>
    <comment ref="DB10" authorId="0" shapeId="0" xr:uid="{CB455049-1FBB-4DA3-B4E3-A966FF2C8998}">
      <text>
        <r>
          <rPr>
            <b/>
            <sz val="9"/>
            <color indexed="81"/>
            <rFont val="Tahoma"/>
            <family val="2"/>
          </rPr>
          <t>The Fancy Man:</t>
        </r>
        <r>
          <rPr>
            <sz val="9"/>
            <color indexed="81"/>
            <rFont val="Tahoma"/>
            <family val="2"/>
          </rPr>
          <t xml:space="preserve">
3 x Carapace Weapons</t>
        </r>
      </text>
    </comment>
    <comment ref="DC10" authorId="0" shapeId="0" xr:uid="{B0DB44D5-76B8-455A-985B-8206E72B32CB}">
      <text>
        <r>
          <rPr>
            <b/>
            <sz val="9"/>
            <color indexed="81"/>
            <rFont val="Tahoma"/>
            <family val="2"/>
          </rPr>
          <t>The Fancy Man:</t>
        </r>
        <r>
          <rPr>
            <sz val="9"/>
            <color indexed="81"/>
            <rFont val="Tahoma"/>
            <family val="2"/>
          </rPr>
          <t xml:space="preserve">
3 x Carapace Weapons</t>
        </r>
      </text>
    </comment>
    <comment ref="DD10" authorId="0" shapeId="0" xr:uid="{91714979-C82D-47AF-9DDA-D49FAE3A6692}">
      <text>
        <r>
          <rPr>
            <b/>
            <sz val="9"/>
            <color indexed="81"/>
            <rFont val="Tahoma"/>
            <family val="2"/>
          </rPr>
          <t>The Fancy Man:</t>
        </r>
        <r>
          <rPr>
            <sz val="9"/>
            <color indexed="81"/>
            <rFont val="Tahoma"/>
            <family val="2"/>
          </rPr>
          <t xml:space="preserve">
3 x Carapace Weapons</t>
        </r>
      </text>
    </comment>
    <comment ref="A14" authorId="0" shapeId="0" xr:uid="{F7EA0172-70E7-4C4C-9FA4-F08B2AE51DC9}">
      <text>
        <r>
          <rPr>
            <b/>
            <sz val="9"/>
            <color indexed="81"/>
            <rFont val="Tahoma"/>
            <family val="2"/>
          </rPr>
          <t>The Fancy Man:</t>
        </r>
        <r>
          <rPr>
            <sz val="9"/>
            <color indexed="81"/>
            <rFont val="Tahoma"/>
            <family val="2"/>
          </rPr>
          <t xml:space="preserve">
Cerastus Knight-Atrapos have a few extras like;
reduce blast S by 1 to min 3, recover structure on a 6 for each knight in banner</t>
        </r>
      </text>
    </comment>
    <comment ref="AW14" authorId="0" shapeId="0" xr:uid="{E4B88BAE-01FA-4E8B-B081-9308987DA7F7}">
      <text>
        <r>
          <rPr>
            <b/>
            <sz val="9"/>
            <color indexed="81"/>
            <rFont val="Tahoma"/>
            <family val="2"/>
          </rPr>
          <t>The Fancy Man:</t>
        </r>
        <r>
          <rPr>
            <sz val="9"/>
            <color indexed="81"/>
            <rFont val="Tahoma"/>
            <family val="2"/>
          </rPr>
          <t xml:space="preserve">
Y on Atrapos
</t>
        </r>
      </text>
    </comment>
    <comment ref="E23" authorId="0" shapeId="0" xr:uid="{4A5D55C2-DCEE-41D7-B15F-B769B6D1C07A}">
      <text>
        <r>
          <rPr>
            <b/>
            <sz val="9"/>
            <color indexed="81"/>
            <rFont val="Tahoma"/>
            <family val="2"/>
          </rPr>
          <t>The Fancy Man:</t>
        </r>
        <r>
          <rPr>
            <sz val="9"/>
            <color indexed="81"/>
            <rFont val="Tahoma"/>
            <family val="2"/>
          </rPr>
          <t xml:space="preserve">
+3" Jump Jet for Power Control, but may only turn prior to movement
Clear any obstacle up to and including scale 10.</t>
        </r>
      </text>
    </comment>
    <comment ref="J23" authorId="0" shapeId="0" xr:uid="{EE544667-0535-4A2E-9E76-382DB2ADA03F}">
      <text>
        <r>
          <rPr>
            <b/>
            <sz val="9"/>
            <color indexed="81"/>
            <rFont val="Tahoma"/>
            <family val="2"/>
          </rPr>
          <t>The Fancy Man:</t>
        </r>
        <r>
          <rPr>
            <sz val="9"/>
            <color indexed="81"/>
            <rFont val="Tahoma"/>
            <family val="2"/>
          </rPr>
          <t xml:space="preserve">
push to 4</t>
        </r>
      </text>
    </comment>
    <comment ref="J24" authorId="0" shapeId="0" xr:uid="{6D1E3EC4-3400-4E04-8376-4FB9A1B7E560}">
      <text>
        <r>
          <rPr>
            <b/>
            <sz val="9"/>
            <color indexed="81"/>
            <rFont val="Tahoma"/>
            <family val="2"/>
          </rPr>
          <t>The Fancy Man:</t>
        </r>
        <r>
          <rPr>
            <sz val="9"/>
            <color indexed="81"/>
            <rFont val="Tahoma"/>
            <family val="2"/>
          </rPr>
          <t xml:space="preserve">
push to 5</t>
        </r>
      </text>
    </comment>
    <comment ref="E25" authorId="0" shapeId="0" xr:uid="{BBB01C66-13D8-4C88-B47D-4A3CE07E3683}">
      <text>
        <r>
          <rPr>
            <b/>
            <sz val="9"/>
            <color indexed="81"/>
            <rFont val="Tahoma"/>
            <family val="2"/>
          </rPr>
          <t>The Fancy Man:</t>
        </r>
        <r>
          <rPr>
            <sz val="9"/>
            <color indexed="81"/>
            <rFont val="Tahoma"/>
            <family val="2"/>
          </rPr>
          <t xml:space="preserve">
+12" Jump Jet for Power Control, but may only turn prior to movement
Clear any obstacle up to and including scale 10.</t>
        </r>
      </text>
    </comment>
    <comment ref="D29" authorId="1" shapeId="0" xr:uid="{6AEBA53E-047F-4151-9D70-218D6DE50229}">
      <text>
        <r>
          <rPr>
            <b/>
            <sz val="9"/>
            <color indexed="81"/>
            <rFont val="Tahoma"/>
            <charset val="1"/>
          </rPr>
          <t>Richard Acock:</t>
        </r>
        <r>
          <rPr>
            <sz val="9"/>
            <color indexed="81"/>
            <rFont val="Tahoma"/>
            <charset val="1"/>
          </rPr>
          <t xml:space="preserve">
Min speed for a flier is half standard speed</t>
        </r>
      </text>
    </comment>
    <comment ref="BJ33" authorId="1" shapeId="0" xr:uid="{59193DB4-233B-4447-A9C3-D53A9872D3DB}">
      <text>
        <r>
          <rPr>
            <b/>
            <sz val="9"/>
            <color indexed="81"/>
            <rFont val="Tahoma"/>
            <charset val="1"/>
          </rPr>
          <t>Richard Acock:</t>
        </r>
        <r>
          <rPr>
            <sz val="9"/>
            <color indexed="81"/>
            <rFont val="Tahoma"/>
            <charset val="1"/>
          </rPr>
          <t xml:space="preserve">
Only make 1 turn irrespective of Speed</t>
        </r>
      </text>
    </comment>
    <comment ref="BK33" authorId="1" shapeId="0" xr:uid="{1F99893B-0453-45F5-B592-DC0CFFB583DD}">
      <text>
        <r>
          <rPr>
            <b/>
            <sz val="9"/>
            <color indexed="81"/>
            <rFont val="Tahoma"/>
            <charset val="1"/>
          </rPr>
          <t>Richard Acock:</t>
        </r>
        <r>
          <rPr>
            <sz val="9"/>
            <color indexed="81"/>
            <rFont val="Tahoma"/>
            <charset val="1"/>
          </rPr>
          <t xml:space="preserve">
May not use boosted speed</t>
        </r>
      </text>
    </comment>
    <comment ref="BL33" authorId="1" shapeId="0" xr:uid="{78339CC4-2CD0-40B8-B33B-50D40AE62A46}">
      <text>
        <r>
          <rPr>
            <b/>
            <sz val="9"/>
            <color indexed="81"/>
            <rFont val="Tahoma"/>
            <charset val="1"/>
          </rPr>
          <t>Richard Acock:</t>
        </r>
        <r>
          <rPr>
            <sz val="9"/>
            <color indexed="81"/>
            <rFont val="Tahoma"/>
            <charset val="1"/>
          </rPr>
          <t xml:space="preserve">
-1TH</t>
        </r>
      </text>
    </comment>
    <comment ref="BM33" authorId="1" shapeId="0" xr:uid="{7C3BD238-DDFA-4878-BFA9-813640512111}">
      <text>
        <r>
          <rPr>
            <b/>
            <sz val="9"/>
            <color indexed="81"/>
            <rFont val="Tahoma"/>
            <charset val="1"/>
          </rPr>
          <t>Richard Acock:</t>
        </r>
        <r>
          <rPr>
            <sz val="9"/>
            <color indexed="81"/>
            <rFont val="Tahoma"/>
            <charset val="1"/>
          </rPr>
          <t xml:space="preserve">
No Dispersion Field</t>
        </r>
      </text>
    </comment>
    <comment ref="A35" authorId="0" shapeId="0" xr:uid="{8B41F36A-1B33-4B1D-9D58-541D988BA82D}">
      <text>
        <r>
          <rPr>
            <b/>
            <sz val="9"/>
            <color indexed="81"/>
            <rFont val="Tahoma"/>
            <family val="2"/>
          </rPr>
          <t>The Fancy Man:</t>
        </r>
        <r>
          <rPr>
            <sz val="9"/>
            <color indexed="81"/>
            <rFont val="Tahoma"/>
            <family val="2"/>
          </rPr>
          <t xml:space="preserve">
Armiger Port</t>
        </r>
      </text>
    </comment>
    <comment ref="A36" authorId="0" shapeId="0" xr:uid="{4F72571C-22C0-47DA-8A66-B9E97DE5E44D}">
      <text>
        <r>
          <rPr>
            <b/>
            <sz val="9"/>
            <color indexed="81"/>
            <rFont val="Tahoma"/>
            <family val="2"/>
          </rPr>
          <t>The Fancy Man:</t>
        </r>
        <r>
          <rPr>
            <sz val="9"/>
            <color indexed="81"/>
            <rFont val="Tahoma"/>
            <family val="2"/>
          </rPr>
          <t xml:space="preserve">
Cerestus port</t>
        </r>
      </text>
    </comment>
    <comment ref="AW36" authorId="0" shapeId="0" xr:uid="{0646D078-F911-41AB-A381-F876C70836D7}">
      <text>
        <r>
          <rPr>
            <b/>
            <sz val="9"/>
            <color indexed="81"/>
            <rFont val="Tahoma"/>
            <family val="2"/>
          </rPr>
          <t>The Fancy Man:</t>
        </r>
        <r>
          <rPr>
            <sz val="9"/>
            <color indexed="81"/>
            <rFont val="Tahoma"/>
            <family val="2"/>
          </rPr>
          <t xml:space="preserve">
Y on Atrapos
</t>
        </r>
      </text>
    </comment>
    <comment ref="A37" authorId="0" shapeId="0" xr:uid="{B82E57CB-6169-47F7-8D8E-EE5AD8E133BC}">
      <text>
        <r>
          <rPr>
            <b/>
            <sz val="9"/>
            <color indexed="81"/>
            <rFont val="Tahoma"/>
            <family val="2"/>
          </rPr>
          <t>The Fancy Man:</t>
        </r>
        <r>
          <rPr>
            <sz val="9"/>
            <color indexed="81"/>
            <rFont val="Tahoma"/>
            <family val="2"/>
          </rPr>
          <t xml:space="preserve">
Acastus 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 Fancy Man</author>
    <author>Richard Acock</author>
  </authors>
  <commentList>
    <comment ref="H26" authorId="0" shapeId="0" xr:uid="{6C5F6FED-2BB5-43E4-90B2-6B95917ACB02}">
      <text>
        <r>
          <rPr>
            <b/>
            <sz val="9"/>
            <color indexed="81"/>
            <rFont val="Tahoma"/>
            <family val="2"/>
          </rPr>
          <t>The Fancy Man:</t>
        </r>
        <r>
          <rPr>
            <sz val="9"/>
            <color indexed="81"/>
            <rFont val="Tahoma"/>
            <family val="2"/>
          </rPr>
          <t xml:space="preserve">
3 but, T causes additional hits against other targets</t>
        </r>
      </text>
    </comment>
    <comment ref="I65" authorId="0" shapeId="0" xr:uid="{380F13C0-00B0-460E-B066-A435113C2BB0}">
      <text>
        <r>
          <rPr>
            <b/>
            <sz val="9"/>
            <color indexed="81"/>
            <rFont val="Tahoma"/>
            <family val="2"/>
          </rPr>
          <t>The Fancy Man:</t>
        </r>
        <r>
          <rPr>
            <sz val="9"/>
            <color indexed="81"/>
            <rFont val="Tahoma"/>
            <family val="2"/>
          </rPr>
          <t xml:space="preserve">
it's 'x' for Warp, but effectively S11 w/ bypass</t>
        </r>
      </text>
    </comment>
    <comment ref="H130" authorId="0" shapeId="0" xr:uid="{6E174BC3-D9F9-42EB-B226-85E01E1A4DA1}">
      <text>
        <r>
          <rPr>
            <b/>
            <sz val="9"/>
            <color indexed="81"/>
            <rFont val="Tahoma"/>
            <family val="2"/>
          </rPr>
          <t>The Fancy Man:</t>
        </r>
        <r>
          <rPr>
            <sz val="9"/>
            <color indexed="81"/>
            <rFont val="Tahoma"/>
            <family val="2"/>
          </rPr>
          <t xml:space="preserve">
3 but, T doubles it</t>
        </r>
      </text>
    </comment>
    <comment ref="A194" authorId="1" shapeId="0" xr:uid="{0D210E6C-3F09-48AC-932F-C89AD59F4699}">
      <text>
        <r>
          <rPr>
            <b/>
            <sz val="9"/>
            <color indexed="81"/>
            <rFont val="Tahoma"/>
            <family val="2"/>
          </rPr>
          <t>Richard Acock:</t>
        </r>
        <r>
          <rPr>
            <sz val="9"/>
            <color indexed="81"/>
            <rFont val="Tahoma"/>
            <family val="2"/>
          </rPr>
          <t xml:space="preserve">
1 shot Macro Gatling
</t>
        </r>
      </text>
    </comment>
    <comment ref="H205" authorId="1" shapeId="0" xr:uid="{7D83FFF3-33E9-4F27-9862-5994673DEA21}">
      <text>
        <r>
          <rPr>
            <b/>
            <sz val="9"/>
            <color indexed="81"/>
            <rFont val="Tahoma"/>
            <family val="2"/>
          </rPr>
          <t>Richard Acock:</t>
        </r>
        <r>
          <rPr>
            <sz val="9"/>
            <color indexed="81"/>
            <rFont val="Tahoma"/>
            <family val="2"/>
          </rPr>
          <t xml:space="preserve">
2 dice on primary target, but with template for a hit on others</t>
        </r>
      </text>
    </comment>
    <comment ref="I209" authorId="0" shapeId="0" xr:uid="{E579C2AB-45A2-4C34-9242-E0167B221290}">
      <text>
        <r>
          <rPr>
            <b/>
            <sz val="9"/>
            <color indexed="81"/>
            <rFont val="Tahoma"/>
            <family val="2"/>
          </rPr>
          <t>The Fancy Man:</t>
        </r>
        <r>
          <rPr>
            <sz val="9"/>
            <color indexed="81"/>
            <rFont val="Tahoma"/>
            <family val="2"/>
          </rPr>
          <t xml:space="preserve">
it's 'x' for Warp, but effectively S11 w/ bypass</t>
        </r>
      </text>
    </comment>
    <comment ref="A232" authorId="1" shapeId="0" xr:uid="{EABF4F02-C74C-4B00-B58F-5DE17F5EDB3A}">
      <text>
        <r>
          <rPr>
            <b/>
            <sz val="9"/>
            <color indexed="81"/>
            <rFont val="Tahoma"/>
            <family val="2"/>
          </rPr>
          <t>Richard Acock:</t>
        </r>
        <r>
          <rPr>
            <sz val="9"/>
            <color indexed="81"/>
            <rFont val="Tahoma"/>
            <family val="2"/>
          </rPr>
          <t xml:space="preserve">
normally in bays of 2 or 6 as part of an aircraft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 Fancy Man</author>
  </authors>
  <commentList>
    <comment ref="B2" authorId="0" shapeId="0" xr:uid="{7E433E69-883B-4F72-9455-6622F4DCEEB1}">
      <text>
        <r>
          <rPr>
            <b/>
            <sz val="9"/>
            <color indexed="81"/>
            <rFont val="Tahoma"/>
            <family val="2"/>
          </rPr>
          <t>The Fancy Man:</t>
        </r>
        <r>
          <rPr>
            <sz val="9"/>
            <color indexed="81"/>
            <rFont val="Tahoma"/>
            <family val="2"/>
          </rPr>
          <t xml:space="preserve">
+12" Flank Speed Advance</t>
        </r>
      </text>
    </comment>
    <comment ref="B12" authorId="0" shapeId="0" xr:uid="{3E69F58E-999C-48D7-835F-CBF62628849F}">
      <text>
        <r>
          <rPr>
            <b/>
            <sz val="9"/>
            <color indexed="81"/>
            <rFont val="Tahoma"/>
            <family val="2"/>
          </rPr>
          <t>The Fancy Man:</t>
        </r>
        <r>
          <rPr>
            <sz val="9"/>
            <color indexed="81"/>
            <rFont val="Tahoma"/>
            <family val="2"/>
          </rPr>
          <t xml:space="preserve">
+18" Advance
</t>
        </r>
      </text>
    </comment>
    <comment ref="R66" authorId="0" shapeId="0" xr:uid="{9305CE17-D1CF-4771-9EDC-FC67E479FDBB}">
      <text>
        <r>
          <rPr>
            <b/>
            <sz val="9"/>
            <color indexed="81"/>
            <rFont val="Tahoma"/>
            <family val="2"/>
          </rPr>
          <t>The Fancy Man:</t>
        </r>
        <r>
          <rPr>
            <sz val="9"/>
            <color indexed="81"/>
            <rFont val="Tahoma"/>
            <family val="2"/>
          </rPr>
          <t xml:space="preserve">
but add template
</t>
        </r>
      </text>
    </comment>
    <comment ref="R74" authorId="0" shapeId="0" xr:uid="{605FE22B-07E8-4159-AE12-4F44C094838E}">
      <text>
        <r>
          <rPr>
            <b/>
            <sz val="9"/>
            <color indexed="81"/>
            <rFont val="Tahoma"/>
            <family val="2"/>
          </rPr>
          <t>The Fancy Man:</t>
        </r>
        <r>
          <rPr>
            <sz val="9"/>
            <color indexed="81"/>
            <rFont val="Tahoma"/>
            <family val="2"/>
          </rPr>
          <t xml:space="preserve">
11 for Melta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 Fancy Man</author>
  </authors>
  <commentList>
    <comment ref="N4" authorId="0" shapeId="0" xr:uid="{9E406143-1376-4284-9DB5-56DE85364174}">
      <text>
        <r>
          <rPr>
            <b/>
            <sz val="9"/>
            <color indexed="81"/>
            <rFont val="Tahoma"/>
            <family val="2"/>
          </rPr>
          <t>The Fancy Man:</t>
        </r>
        <r>
          <rPr>
            <sz val="9"/>
            <color indexed="81"/>
            <rFont val="Tahoma"/>
            <family val="2"/>
          </rPr>
          <t xml:space="preserve">
Odds of Superficial shut down is D6 roll of 6 (1/6)*odds of hitting(5/6)*rolling under armour value (but not on weapon location)=SUM((AT_Chassis!$AT$2-8)/6,2*(AT_Chassis!$BL$2-8)/6,2*(AT_Chassis!$CD$2-8)/6)/6</t>
        </r>
      </text>
    </comment>
    <comment ref="V4" authorId="0" shapeId="0" xr:uid="{C36EA6CF-22C7-444F-9AB0-D054C9A782F7}">
      <text>
        <r>
          <rPr>
            <b/>
            <sz val="9"/>
            <color indexed="81"/>
            <rFont val="Tahoma"/>
            <family val="2"/>
          </rPr>
          <t>The Fancy Man:</t>
        </r>
        <r>
          <rPr>
            <sz val="9"/>
            <color indexed="81"/>
            <rFont val="Tahoma"/>
            <family val="2"/>
          </rPr>
          <t xml:space="preserve">
Odds of Superficial shut down is D6 roll of 6 (1/6)*odds of hitting(5/6)*rolling under armour value (but not on weapon location)=SUM((AT_Chassis!$AT$2-8)/6,2*(AT_Chassis!$BL$2-8)/6,2*(AT_Chassis!$CD$2-8)/6)/6</t>
        </r>
      </text>
    </comment>
    <comment ref="G6" authorId="0" shapeId="0" xr:uid="{039B99C4-E63A-4511-A948-9B867B7BA7C3}">
      <text>
        <r>
          <rPr>
            <b/>
            <sz val="9"/>
            <color indexed="81"/>
            <rFont val="Tahoma"/>
            <family val="2"/>
          </rPr>
          <t>The Fancy Man:</t>
        </r>
        <r>
          <rPr>
            <sz val="9"/>
            <color indexed="81"/>
            <rFont val="Tahoma"/>
            <family val="2"/>
          </rPr>
          <t xml:space="preserve">
body or legs AV10
head AV11</t>
        </r>
      </text>
    </comment>
    <comment ref="P6" authorId="0" shapeId="0" xr:uid="{848D5BD3-9AC6-4300-8E1D-166F6F848A9A}">
      <text>
        <r>
          <rPr>
            <b/>
            <sz val="9"/>
            <color indexed="81"/>
            <rFont val="Tahoma"/>
            <family val="2"/>
          </rPr>
          <t>The Fancy Man:</t>
        </r>
        <r>
          <rPr>
            <sz val="9"/>
            <color indexed="81"/>
            <rFont val="Tahoma"/>
            <family val="2"/>
          </rPr>
          <t xml:space="preserve">
body or legs AV10
head AV11</t>
        </r>
      </text>
    </comment>
    <comment ref="G7" authorId="0" shapeId="0" xr:uid="{903F23C0-4CE5-4930-9A7A-9EDC483DF129}">
      <text>
        <r>
          <rPr>
            <b/>
            <sz val="9"/>
            <color indexed="81"/>
            <rFont val="Tahoma"/>
            <family val="2"/>
          </rPr>
          <t>The Fancy Man:</t>
        </r>
        <r>
          <rPr>
            <sz val="9"/>
            <color indexed="81"/>
            <rFont val="Tahoma"/>
            <family val="2"/>
          </rPr>
          <t xml:space="preserve">
body AV10
legs/head AV11
</t>
        </r>
      </text>
    </comment>
    <comment ref="P7" authorId="0" shapeId="0" xr:uid="{8BCF3419-F469-4691-89E2-99445D7E2417}">
      <text>
        <r>
          <rPr>
            <b/>
            <sz val="9"/>
            <color indexed="81"/>
            <rFont val="Tahoma"/>
            <family val="2"/>
          </rPr>
          <t>The Fancy Man:</t>
        </r>
        <r>
          <rPr>
            <sz val="9"/>
            <color indexed="81"/>
            <rFont val="Tahoma"/>
            <family val="2"/>
          </rPr>
          <t xml:space="preserve">
body AV10
legs/head AV11
</t>
        </r>
      </text>
    </comment>
    <comment ref="L33" authorId="0" shapeId="0" xr:uid="{088CD6D8-4EDF-44EF-9E30-004E37C821E5}">
      <text>
        <r>
          <rPr>
            <b/>
            <sz val="9"/>
            <color indexed="81"/>
            <rFont val="Tahoma"/>
            <family val="2"/>
          </rPr>
          <t>The Fancy Man:</t>
        </r>
        <r>
          <rPr>
            <sz val="9"/>
            <color indexed="81"/>
            <rFont val="Tahoma"/>
            <family val="2"/>
          </rPr>
          <t xml:space="preserve">
ignore 1/6 of the difference as weapon damage makes so little difference</t>
        </r>
      </text>
    </comment>
    <comment ref="G36" authorId="0" shapeId="0" xr:uid="{CDB60BCF-4367-44CA-9CBF-4ECCFD75E90F}">
      <text>
        <r>
          <rPr>
            <b/>
            <sz val="9"/>
            <color indexed="81"/>
            <rFont val="Tahoma"/>
            <family val="2"/>
          </rPr>
          <t>The Fancy Man:</t>
        </r>
        <r>
          <rPr>
            <sz val="9"/>
            <color indexed="81"/>
            <rFont val="Tahoma"/>
            <family val="2"/>
          </rPr>
          <t xml:space="preserve">
Critical is worth about 3.5x Direct, rather than 4 (i.e. is Dev+Direct, apart from when on last pip, when it becomes 2 critical damage)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<sst xmlns="http://schemas.openxmlformats.org/spreadsheetml/2006/main" count="2263" uniqueCount="888">
  <si>
    <t>Warhound</t>
  </si>
  <si>
    <t>Unit Type</t>
  </si>
  <si>
    <t>Reaver</t>
  </si>
  <si>
    <t>Nemesis Warbringer</t>
  </si>
  <si>
    <t>Warlord</t>
  </si>
  <si>
    <t>Warlord Sinister</t>
  </si>
  <si>
    <t>Warmaster</t>
  </si>
  <si>
    <t>Warmaster Iconoclast</t>
  </si>
  <si>
    <t>Armiger</t>
  </si>
  <si>
    <t>Command</t>
  </si>
  <si>
    <t>Scale</t>
  </si>
  <si>
    <t>BS</t>
  </si>
  <si>
    <t>Speed</t>
  </si>
  <si>
    <t>Speed (push)</t>
  </si>
  <si>
    <t>Manoeuvre (Push)</t>
  </si>
  <si>
    <t>Manoeuvre</t>
  </si>
  <si>
    <t>WS</t>
  </si>
  <si>
    <t>Servitor Clades</t>
  </si>
  <si>
    <t>Reactor 1</t>
  </si>
  <si>
    <t>Reactor 2</t>
  </si>
  <si>
    <t>Reactor 3</t>
  </si>
  <si>
    <t>Reactor 4</t>
  </si>
  <si>
    <t>Reactor 5</t>
  </si>
  <si>
    <t>Reactor 6</t>
  </si>
  <si>
    <t>Reactor 7</t>
  </si>
  <si>
    <t>Reactor 8</t>
  </si>
  <si>
    <t>G</t>
  </si>
  <si>
    <t>Y</t>
  </si>
  <si>
    <t>O</t>
  </si>
  <si>
    <t>S</t>
  </si>
  <si>
    <t>A</t>
  </si>
  <si>
    <t>R</t>
  </si>
  <si>
    <t>M</t>
  </si>
  <si>
    <t>Reactor 9</t>
  </si>
  <si>
    <t>Reactor 10</t>
  </si>
  <si>
    <t>Reactor 11</t>
  </si>
  <si>
    <t>Reactor 12</t>
  </si>
  <si>
    <t>Void Shield 1</t>
  </si>
  <si>
    <t>Void Shield 2</t>
  </si>
  <si>
    <t>Void Shield 3</t>
  </si>
  <si>
    <t>Void Shield 4</t>
  </si>
  <si>
    <t>Void Shield 5</t>
  </si>
  <si>
    <t>Void Shield 6</t>
  </si>
  <si>
    <t>Void Shield 7</t>
  </si>
  <si>
    <t>Void Shield 8</t>
  </si>
  <si>
    <t>Void Shield 9</t>
  </si>
  <si>
    <t>Void Shield 10</t>
  </si>
  <si>
    <t>Void Shield 11</t>
  </si>
  <si>
    <t>Void Shield 12</t>
  </si>
  <si>
    <t>Head 1</t>
  </si>
  <si>
    <t>Head 2</t>
  </si>
  <si>
    <t>Head 3</t>
  </si>
  <si>
    <t>Head 4</t>
  </si>
  <si>
    <t>Head 5</t>
  </si>
  <si>
    <t>Head 6</t>
  </si>
  <si>
    <t>Head 7</t>
  </si>
  <si>
    <t>Head 8</t>
  </si>
  <si>
    <t>Head 9</t>
  </si>
  <si>
    <t>Head 10</t>
  </si>
  <si>
    <t>Head Crit 1</t>
  </si>
  <si>
    <t>Head Crit 2</t>
  </si>
  <si>
    <t>Head Crit 3</t>
  </si>
  <si>
    <t>Body 1</t>
  </si>
  <si>
    <t>Body 2</t>
  </si>
  <si>
    <t>Body 3</t>
  </si>
  <si>
    <t>Body 4</t>
  </si>
  <si>
    <t>Body 5</t>
  </si>
  <si>
    <t>Body 6</t>
  </si>
  <si>
    <t>Body 7</t>
  </si>
  <si>
    <t>Body 8</t>
  </si>
  <si>
    <t>Body 9</t>
  </si>
  <si>
    <t>Body 10</t>
  </si>
  <si>
    <t>Body Crit 1</t>
  </si>
  <si>
    <t>Body Crit 2</t>
  </si>
  <si>
    <t>Body Crit 3</t>
  </si>
  <si>
    <t>Legs 1</t>
  </si>
  <si>
    <t>Legs 2</t>
  </si>
  <si>
    <t>Legs 3</t>
  </si>
  <si>
    <t>Legs 4</t>
  </si>
  <si>
    <t>Legs 5</t>
  </si>
  <si>
    <t>Legs 6</t>
  </si>
  <si>
    <t>Legs 7</t>
  </si>
  <si>
    <t>Legs 8</t>
  </si>
  <si>
    <t>Legs 9</t>
  </si>
  <si>
    <t>Legs 10</t>
  </si>
  <si>
    <t>Legs Crit 1</t>
  </si>
  <si>
    <t>Legs Crit 2</t>
  </si>
  <si>
    <t>Legs Crit 3</t>
  </si>
  <si>
    <t>Special 1</t>
  </si>
  <si>
    <t>Special 2</t>
  </si>
  <si>
    <t>Special 3</t>
  </si>
  <si>
    <t>Special 4</t>
  </si>
  <si>
    <t>Special 5</t>
  </si>
  <si>
    <t>Special 6</t>
  </si>
  <si>
    <t>Special 7</t>
  </si>
  <si>
    <t>Special 8</t>
  </si>
  <si>
    <t>Special 9</t>
  </si>
  <si>
    <t>Special 10</t>
  </si>
  <si>
    <t>Special Crit 1</t>
  </si>
  <si>
    <t>Special Crit 2</t>
  </si>
  <si>
    <t>Special Crit 3</t>
  </si>
  <si>
    <t>Points</t>
  </si>
  <si>
    <t>Carapace</t>
  </si>
  <si>
    <t>X</t>
  </si>
  <si>
    <t>MIU Feedback</t>
  </si>
  <si>
    <t>Moderati Wounded</t>
  </si>
  <si>
    <t>Princeps Wounded</t>
  </si>
  <si>
    <t>Reactor Leak (1)</t>
  </si>
  <si>
    <t>VSG Burnout</t>
  </si>
  <si>
    <t>Reactor Leak (2)</t>
  </si>
  <si>
    <t>Stabilisers Damaged</t>
  </si>
  <si>
    <t>Locomotors Seized</t>
  </si>
  <si>
    <t>Imobilised</t>
  </si>
  <si>
    <t>Base Chassis Points</t>
  </si>
  <si>
    <t>Built-in Weapon 1</t>
  </si>
  <si>
    <t>Built-in Weapon 2</t>
  </si>
  <si>
    <t>Ardex Defensor Cannon</t>
  </si>
  <si>
    <t>Void Shields</t>
  </si>
  <si>
    <t>Questoris</t>
  </si>
  <si>
    <t>Acastus</t>
  </si>
  <si>
    <t>Head Structure</t>
  </si>
  <si>
    <t>Body Structure</t>
  </si>
  <si>
    <t>Leg Structure</t>
  </si>
  <si>
    <t>F</t>
  </si>
  <si>
    <t>I</t>
  </si>
  <si>
    <t>HP</t>
  </si>
  <si>
    <t>D</t>
  </si>
  <si>
    <t>Weapon 1</t>
  </si>
  <si>
    <t>Weapon 2</t>
  </si>
  <si>
    <t>Weapon 3</t>
  </si>
  <si>
    <t>Weapon 4</t>
  </si>
  <si>
    <t>Vulcan Mega-Bolter</t>
  </si>
  <si>
    <t>Titan Plasma blast gun</t>
  </si>
  <si>
    <t>options</t>
  </si>
  <si>
    <t>VMB, TLD, PB, IG</t>
  </si>
  <si>
    <t>Carapace-Mounted AML</t>
  </si>
  <si>
    <t>Laser Blaster</t>
  </si>
  <si>
    <t>Gatling Blaster</t>
  </si>
  <si>
    <t>[Arm] GB,LB,VC(+50), MC, PF, CF (+75) / [Carapace] TLD, PB, IG, VMB, VM</t>
  </si>
  <si>
    <t>Belicosa Volcano Cannon</t>
  </si>
  <si>
    <t>2x Carapace-Mounted AMLs</t>
  </si>
  <si>
    <t>Ardex bolt cannon/lascannon</t>
  </si>
  <si>
    <t>[Arm] PA, QC, Lascutter, PC, MGB / [Carapace] TLDs, VMBs, PBs, LBs (+100), MCs (+100), GBs (+100), VMs (+150), Ims (+75)</t>
  </si>
  <si>
    <t>Warbringer</t>
  </si>
  <si>
    <t>NQC</t>
  </si>
  <si>
    <t>[Arm] GB, VC, MC</t>
  </si>
  <si>
    <t>defense batteries / Ardex bolt cannons</t>
  </si>
  <si>
    <t>Paladin</t>
  </si>
  <si>
    <t>Errant</t>
  </si>
  <si>
    <t>Magaera</t>
  </si>
  <si>
    <t>Styrix</t>
  </si>
  <si>
    <t>Lancer</t>
  </si>
  <si>
    <t>Castigator</t>
  </si>
  <si>
    <t>Archeron</t>
  </si>
  <si>
    <t>T</t>
  </si>
  <si>
    <t>W</t>
  </si>
  <si>
    <t>Ld</t>
  </si>
  <si>
    <t>Sv</t>
  </si>
  <si>
    <t>V</t>
  </si>
  <si>
    <t>Pts</t>
  </si>
  <si>
    <t>Revenant</t>
  </si>
  <si>
    <t>Phantom</t>
  </si>
  <si>
    <t>Skathach Wraithknight</t>
  </si>
  <si>
    <t>Inv</t>
  </si>
  <si>
    <t>Head Direct</t>
  </si>
  <si>
    <t>Head Devastating</t>
  </si>
  <si>
    <t>Head Critical</t>
  </si>
  <si>
    <t>Body Direct</t>
  </si>
  <si>
    <t>Body Devastating</t>
  </si>
  <si>
    <t>Body Critical</t>
  </si>
  <si>
    <t>Leg Direct</t>
  </si>
  <si>
    <t>Leg Devastating</t>
  </si>
  <si>
    <t>Leg Critical</t>
  </si>
  <si>
    <t>Warhound Weapons</t>
  </si>
  <si>
    <t>Inferno Gun</t>
  </si>
  <si>
    <t>Turbo Laser Destructor</t>
  </si>
  <si>
    <t>Plasma Blastgun</t>
  </si>
  <si>
    <t>Ursus Claw</t>
  </si>
  <si>
    <t>Natrix Shock Lance</t>
  </si>
  <si>
    <t>Volkite Eradicator</t>
  </si>
  <si>
    <t>Weapon</t>
  </si>
  <si>
    <t>Range</t>
  </si>
  <si>
    <t>L</t>
  </si>
  <si>
    <t>Accuracy</t>
  </si>
  <si>
    <t>Dice</t>
  </si>
  <si>
    <t>Str</t>
  </si>
  <si>
    <t>Location</t>
  </si>
  <si>
    <t>Traits</t>
  </si>
  <si>
    <t>Arc</t>
  </si>
  <si>
    <t>Weapon Disabled</t>
  </si>
  <si>
    <t>Repair</t>
  </si>
  <si>
    <t>Det 1</t>
  </si>
  <si>
    <t>Det 2</t>
  </si>
  <si>
    <t>Detonation</t>
  </si>
  <si>
    <t>Loc</t>
  </si>
  <si>
    <t>Str 1</t>
  </si>
  <si>
    <t>Str 2</t>
  </si>
  <si>
    <t>-</t>
  </si>
  <si>
    <t>Warhound Arm</t>
  </si>
  <si>
    <t>Front</t>
  </si>
  <si>
    <t>Body</t>
  </si>
  <si>
    <t>Shieldbane (Draining)</t>
  </si>
  <si>
    <t>Plasma Blastgun (Maximal)</t>
  </si>
  <si>
    <t>Blast (3"), Maximal Fire</t>
  </si>
  <si>
    <t>Blast (3")</t>
  </si>
  <si>
    <t>Bypass, Specialised, Shock (Draining)</t>
  </si>
  <si>
    <t>Reaver Weapons</t>
  </si>
  <si>
    <t>Reaver Chainfist</t>
  </si>
  <si>
    <t>Melta Cannon</t>
  </si>
  <si>
    <t>Volcano Cannon</t>
  </si>
  <si>
    <t>Chasmata Pattern Laser Destructors</t>
  </si>
  <si>
    <t>Power Fist</t>
  </si>
  <si>
    <t>Chasmata Pattern Laser Blaster</t>
  </si>
  <si>
    <t>Warp Missile Support Rack</t>
  </si>
  <si>
    <t>Apocalypse Missile Launcher</t>
  </si>
  <si>
    <t>Reaver Carapace</t>
  </si>
  <si>
    <t>Reaver Arm</t>
  </si>
  <si>
    <t>Melee, Rending</t>
  </si>
  <si>
    <t>Blast (3"), Draining</t>
  </si>
  <si>
    <t>Concussive, Melee</t>
  </si>
  <si>
    <t>Plasma Blastgun (Focussed Capacitors)</t>
  </si>
  <si>
    <t>Traitor</t>
  </si>
  <si>
    <t>Carapace, Limited (1), Warp</t>
  </si>
  <si>
    <t>Carapace, Barrage</t>
  </si>
  <si>
    <t>Carapace, Shieldbane (Draining)</t>
  </si>
  <si>
    <t>All Round</t>
  </si>
  <si>
    <t>Vortex Missile Support Rack</t>
  </si>
  <si>
    <t>Carapace, Limited (1), Vortex</t>
  </si>
  <si>
    <t>Loyalist</t>
  </si>
  <si>
    <t>Warbringer Weapons</t>
  </si>
  <si>
    <t>BVC w/ Gyros</t>
  </si>
  <si>
    <t>Mori Quake Cannon</t>
  </si>
  <si>
    <t>MQC w/ Gyros</t>
  </si>
  <si>
    <t>Warbringer Carapace</t>
  </si>
  <si>
    <t>Blast (5"), Carapace, Draining</t>
  </si>
  <si>
    <t>Blast (5"), Carapace, Concussive, Quake</t>
  </si>
  <si>
    <t>Corridor</t>
  </si>
  <si>
    <t>Warlord Weapons</t>
  </si>
  <si>
    <t>Macro-gatling Blaster</t>
  </si>
  <si>
    <t>Sunfury Plasma Annihilator</t>
  </si>
  <si>
    <t>Arioch Titan Power Claw</t>
  </si>
  <si>
    <t>Paired Turbo Laser Destructors</t>
  </si>
  <si>
    <t>Paired Gatling Blasters</t>
  </si>
  <si>
    <t>Vulcan Mega Bolter Array</t>
  </si>
  <si>
    <t>Paired Laser Blasters</t>
  </si>
  <si>
    <t>Apocalyse Missile Launchers</t>
  </si>
  <si>
    <t>Paired Chasmata Turbo Laser Destructors</t>
  </si>
  <si>
    <t>Paired Chasmata Laser Blasters</t>
  </si>
  <si>
    <t>Warlord Arm</t>
  </si>
  <si>
    <t>+ Meta Cannon, Volcano Cannon, Laser Blaster, Gatling Blaster from Reaver Weapons</t>
  </si>
  <si>
    <t>Legio / Allegiance Specific</t>
  </si>
  <si>
    <t>Sunfury Plasma Annihilator (Maximal)</t>
  </si>
  <si>
    <t>Maximal Fire</t>
  </si>
  <si>
    <t>Blast (5"), Concussive, Quake</t>
  </si>
  <si>
    <t>Warlord Carapace</t>
  </si>
  <si>
    <t>Carapace, Paired, Shieldbane (Draining)</t>
  </si>
  <si>
    <t>Carapace, Ordinance, Paired</t>
  </si>
  <si>
    <t>Carapace, Paired, Rapid</t>
  </si>
  <si>
    <t>Barrage, Carapace, Paired</t>
  </si>
  <si>
    <t>Warlord-Sinister Arm</t>
  </si>
  <si>
    <t>Beam (1), Psi, Taxing</t>
  </si>
  <si>
    <t>Volkite Destructor</t>
  </si>
  <si>
    <t>Beam (1) (Draining), Voidbreaker (2)</t>
  </si>
  <si>
    <t>Infernus Missiles</t>
  </si>
  <si>
    <t>Atarus (p71 Loyalist)</t>
  </si>
  <si>
    <t>Carapace, Barrage, Voidbreaker (2), *</t>
  </si>
  <si>
    <t>Ordinance, *</t>
  </si>
  <si>
    <t>*Legio Astraman +1 Armour Rolls for +30pts</t>
  </si>
  <si>
    <t>*Legio Astraman +1 Armour Rolls for +60pts</t>
  </si>
  <si>
    <t>Tempestus (p92 Rulebook / p21 Traitor)</t>
  </si>
  <si>
    <t>Earthbreaker Missiles</t>
  </si>
  <si>
    <t>Krytos (p41 Traitor)</t>
  </si>
  <si>
    <t>Carapace, Barrage, Quake, *</t>
  </si>
  <si>
    <t>Barrage, Carapace, Paired, Voidbreaker (2), *</t>
  </si>
  <si>
    <t>Janus Pattern Missiles</t>
  </si>
  <si>
    <t>Carapace, Barrage, Split*</t>
  </si>
  <si>
    <t>Vulcanum (p71 Traitor)</t>
  </si>
  <si>
    <t>Paired TLD w/ Gyros</t>
  </si>
  <si>
    <t>Paired Chasmata TLDs w/ Gyros</t>
  </si>
  <si>
    <t>Paired GBs w/ Gyros</t>
  </si>
  <si>
    <t>Paired LBs w/ Gyros</t>
  </si>
  <si>
    <t>Paired Chasmata LBs w/ Gyros</t>
  </si>
  <si>
    <t>VMB Array w/ Gyros</t>
  </si>
  <si>
    <t>AML w/ Gyros</t>
  </si>
  <si>
    <t>Barrage, Carapace, Paired, Split*</t>
  </si>
  <si>
    <t>Carapace, Rapid, *</t>
  </si>
  <si>
    <t>Rapid, *</t>
  </si>
  <si>
    <t>*Legio Interfector Static Rounds +15pts (p81 Traitor)</t>
  </si>
  <si>
    <t>Firestorm, *</t>
  </si>
  <si>
    <t>*Legio Infernus Clinging Phosphex +15pts</t>
  </si>
  <si>
    <t>Plasma Blastgun (Toxin Nodes)</t>
  </si>
  <si>
    <t>Blast (5")</t>
  </si>
  <si>
    <t>Mordaxis (p101 Traitor)</t>
  </si>
  <si>
    <t>Plasma Blastgun (Maximal Toxin Nodes)</t>
  </si>
  <si>
    <t>Blast (5"), Maximal Fire</t>
  </si>
  <si>
    <t>Impale, Specialised, *</t>
  </si>
  <si>
    <t>*Legio Audax +1S (p111 Traitor)</t>
  </si>
  <si>
    <t>Blast (3"), Fusion</t>
  </si>
  <si>
    <t>Melta Cannon (Directed Pressure Outlet)</t>
  </si>
  <si>
    <t>Magna (p121 Traitor)</t>
  </si>
  <si>
    <t>Vulcan Mega-Bolter (Maximal)</t>
  </si>
  <si>
    <t>Rapid, Maximal Fire</t>
  </si>
  <si>
    <t>Vulturum (p131 Traitor)</t>
  </si>
  <si>
    <t>Carapace, Rapid, Maximal</t>
  </si>
  <si>
    <t>Vulcan Mega Bolter Array (Maximal)</t>
  </si>
  <si>
    <t>Carapace, Paired, Rapid, Maximal Fire</t>
  </si>
  <si>
    <t>Barrage, Carapace, Paired, *</t>
  </si>
  <si>
    <t>*Legio Kulisaetai Accelerated Autoloaders +20pts (p147 Traitor), *Legio Tritonis Radiative Warheads (p159 Traitor)</t>
  </si>
  <si>
    <t xml:space="preserve">Left Arm = Sinistramanus Tenebrae, Right Arm = Arioch Power Claw (swapable), Carapace = any Warlord Carapace Weapon </t>
  </si>
  <si>
    <t>Chassis Loadout options</t>
  </si>
  <si>
    <t>V3</t>
  </si>
  <si>
    <t>V4</t>
  </si>
  <si>
    <t>Warhound (Head)</t>
  </si>
  <si>
    <t>Warhound (Leg)</t>
  </si>
  <si>
    <t>Warhound (Body)</t>
  </si>
  <si>
    <t>Warhound (Weapon)</t>
  </si>
  <si>
    <t>Reaver (Head)</t>
  </si>
  <si>
    <t>Reaver (Body)</t>
  </si>
  <si>
    <t>Reaver (Leg)</t>
  </si>
  <si>
    <t>Reaver (Weapon)</t>
  </si>
  <si>
    <t>C</t>
  </si>
  <si>
    <t>Warbringer (Head)</t>
  </si>
  <si>
    <t>Warbringer (Body)</t>
  </si>
  <si>
    <t>Warbringer (Leg)</t>
  </si>
  <si>
    <t>Warlord (Head)</t>
  </si>
  <si>
    <t>Warlord (Body)</t>
  </si>
  <si>
    <t>Warlord (Leg)</t>
  </si>
  <si>
    <t>Warlord (Weapon)</t>
  </si>
  <si>
    <t>Warbringer (Carapace)</t>
  </si>
  <si>
    <t>Use of Voids to Full</t>
  </si>
  <si>
    <t>Hits</t>
  </si>
  <si>
    <t>Save</t>
  </si>
  <si>
    <t>V2F</t>
  </si>
  <si>
    <t>Saved</t>
  </si>
  <si>
    <t>Go Through</t>
  </si>
  <si>
    <t>Blast</t>
  </si>
  <si>
    <t>Scenery and Obstructions</t>
  </si>
  <si>
    <t>Shieldbane</t>
  </si>
  <si>
    <t>Voidbreaker</t>
  </si>
  <si>
    <t>Game Length</t>
  </si>
  <si>
    <t>Each Titan needs to be able to put out enough shield damage / structure damage to take out an equivilent number of points of titan: If there's not enough shots to do shield damage, then it won't reach the structure, if there's too much, it won't have the strength to get through the structure.
The amount of damage output to shields/structure can be balanced across multiple titans in a battlegroup, but the total damage potential to shields/structure should be in a rough ratio to take down;
300 points = Reaver: 4VS, 10 structure
500 points = Reaver (above) plus Warhound: 3VS, 9 structure, OR Warlord: 5VS: 11 structure (but stronger structure).
VS are easier to take down, but easier to regenerate, only the Critical structure can be repaired.
? how many repairs to count over 3 turns ?1-2VS and 0-1 Crit Dmg per 300 points? -&gt; ~1 VS to 2 Structure</t>
  </si>
  <si>
    <t>Corner to corner, less base size is ~55' so any weapon with a range of greater than this can reach any target anywhere on the board.</t>
  </si>
  <si>
    <t>The recommended battlefield for the Rulebook is 4'x4' and 3 out of 4 matched play deployment rules set the deployment zones 36" apart, which with 12" adjacency means a target 38" away. Titans wishing to close with each other will find themselves a minimum of 36" apart, so weapons with shorter ranges than that will need to move to find a target.</t>
  </si>
  <si>
    <t>A Titan wishing to stand and shoot will be hugging the back field and likely staying as far adjacent from a 'closer', giving a minimum of &gt;38" and with 12" adjacency, just under 40" (a 'ranged' titan deploying second, trying to avoid a 'punchy' titan deployed in the centre of the board would be able to get just over 42" away).</t>
  </si>
  <si>
    <t>House rule for 28mm AT puts Reavers and larger at 9" deployment zone and Warhounds and smaller at 12" deployment zone
-&gt; min distance 24" Warhound to Warhound, and reduces distances to travel punchy -&gt; shooty to min &gt;33" &gt;35" for 12" adjacency or max 37.6"</t>
  </si>
  <si>
    <t>Distances</t>
  </si>
  <si>
    <t>Weapon Ranges</t>
  </si>
  <si>
    <t xml:space="preserve">Top AP Max Dmg </t>
  </si>
  <si>
    <t>3+ VS Dmg</t>
  </si>
  <si>
    <t>4+ VS Dmg</t>
  </si>
  <si>
    <t>Avg Dmg Output at Top AP</t>
  </si>
  <si>
    <t>Chassis</t>
  </si>
  <si>
    <t>Name</t>
  </si>
  <si>
    <t>W1</t>
  </si>
  <si>
    <t>W2</t>
  </si>
  <si>
    <t>W3</t>
  </si>
  <si>
    <t>TDO</t>
  </si>
  <si>
    <t>MnS</t>
  </si>
  <si>
    <t>Type</t>
  </si>
  <si>
    <t>RnT</t>
  </si>
  <si>
    <t>SnS</t>
  </si>
  <si>
    <t>Type = Run and Thump (RnT), Move and Shoot (MnS), Stand and Shoot (SnS)</t>
  </si>
  <si>
    <t>Damage per turn</t>
  </si>
  <si>
    <t>Life expectancy</t>
  </si>
  <si>
    <t>Ratio of Damage to Shields vs Damage to Armour</t>
  </si>
  <si>
    <t>TVSO</t>
  </si>
  <si>
    <t>VS (3+) per turn</t>
  </si>
  <si>
    <t>AP vs VS Ratio</t>
  </si>
  <si>
    <t>2 : 1 is the average required</t>
  </si>
  <si>
    <t>Seems like life expectancy for Reaver on Reaver is 3 turns (no more, no less for the vast majority of encounters), so will base life expectancy per 300 points / TDO on that for now. Note: that Titans that last much longer or shorter than 3 turns vs equivalent points will have skew to their damage output based against range that they achieve (if it matters e.g. short ranged damage output will be skewed low, long range should be fine)</t>
  </si>
  <si>
    <t>Damage capacity</t>
  </si>
  <si>
    <t>at AP</t>
  </si>
  <si>
    <t>Dire Wolf</t>
  </si>
  <si>
    <t>Dev Capacity</t>
  </si>
  <si>
    <t>Crit Capacity</t>
  </si>
  <si>
    <t>Dire Wolf (Head)</t>
  </si>
  <si>
    <t>Dire Wolf (Body)</t>
  </si>
  <si>
    <t>Dire Wolf (Leg)</t>
  </si>
  <si>
    <t>Dire Wolf (Weapon)</t>
  </si>
  <si>
    <t>Dire Wolf Weapons</t>
  </si>
  <si>
    <t>Ardex Defensor Mega-Bolter</t>
  </si>
  <si>
    <t>Neutron Laser</t>
  </si>
  <si>
    <t>o/a Damage Capacity ratio</t>
  </si>
  <si>
    <t>WTDO / 100Pts</t>
  </si>
  <si>
    <t>Notes</t>
  </si>
  <si>
    <t>Smash/FF w/</t>
  </si>
  <si>
    <t>Weighted Total Damage Output</t>
  </si>
  <si>
    <t>Beam</t>
  </si>
  <si>
    <t>Beam auto-hits and cuts in half the amount of damage needed to do to a titan as you can always choose a location without penalty.</t>
  </si>
  <si>
    <t>Targeting vs not able to</t>
  </si>
  <si>
    <t>TLDR: Weapons that have the ability to target locations are not significantly more valuable than those that can't (excepting Beam below)
Targetted hits, hit 1/2 as often (on a 3+ -&gt; 5+), or worse (1/3 4+ -&gt; 6+), vs not targetting hitting a preferred location 1/3rd of the time (or up to 1/2 in the case of the preferred being Body, on a Titan w/o a Special location and after damage to Weapons) and the other hits doing damage to A.N. Other location. So Targetting with all weapons will destroy 1 location in 1/6 less shots, but wastes the other half of the hits potentially doing damage to other locations. 
Therefore: If your entire force shooting a specific target has targetable weapons, or if you have weapons that can only damage specific locations (due to low AP), or a specific location needs to be further damaged to allow other weapons to be able to damage it, or a damage on a specific location will likely lead to destruction of the Titan, it is worth targetting, otherwise, don't and rely upon weight of fire against the titan as a whole, as otherwise, non-targetable weapon firepower has a potential to be lost hitting locations that will not contribute to eventual destruction of the Titan.
Having a mix of targeting and non-targeting weapons leads to approx 2/3rds of total damage capacity of a Titan being reduced before landing a Coup de Gras shot with a targeting weapon, or 2/3 luck from a non-targeting weapon. With an added bonus of more potential damage effects to the titan (e.g. reducing weapon output / reducing movement etc.) at a cost of reducing AP bonuses by 1/6th on 'preferred' location</t>
  </si>
  <si>
    <t>Sinistramanus Tenebrae</t>
  </si>
  <si>
    <t>Weapons &gt;24" will find a target T1 and can FF every turn if desired (Stand and Shoot/SnS).
Weapons &lt;24" will find a target if they Move and Shoot. Weapons =24" depends upon scenario (and for 28mm should be fine - especially Warhounds, but most missions will need to MnS)
Weapons with a range above Melee (10") will find a target in T2 (just may need Full Stride and a double push of P2L in T1 to get there)
Melee weapons only come into effect on T3 (Run and Thump/RnT)</t>
  </si>
  <si>
    <t>Scenery doesn't matter for point cost even with different weapons.
A bit of an odd one at first glance, but bear with me: It only benefits/hinders Titans that want to get closer: Benefits from cover (if they slow down to make use of them, but unlikely to use max movement on a direct path to get in the right place to have full cover and elongates path to target) / Hinders as it adds to movement required to close with target, so ignoring it for now on the basis that there is little totally obscuring cover in the game, but most obstructions provide some cover and a close ranged Titan will avoid those obstacles that don't provide sufficient cover, so will take an extra turn to get to the enemy for two turns of -1 / -2 to Hit giving the same sort of damage output (after an extra Damage Control phase).
Clearly Cover benefits models, but it doesn't affect their relative points value as per above.
- I may need to look at this more later (and model it out), but for now, that's the assumption.</t>
  </si>
  <si>
    <t>Short Ranged Damage (per use)</t>
  </si>
  <si>
    <t>Long Ranged Damage (per use)</t>
  </si>
  <si>
    <t>Damage Capacity</t>
  </si>
  <si>
    <t>Psi Titan psychics and other special abilities (only added it to see the effects of Beam combined across a pair of weapons).</t>
  </si>
  <si>
    <t>Movement and Manouverability irt. Getting into a better position to hit side/rear armour</t>
  </si>
  <si>
    <t>AP</t>
  </si>
  <si>
    <t>Abilities</t>
  </si>
  <si>
    <t>Cloudburst Missile Launcher</t>
  </si>
  <si>
    <t>36"</t>
  </si>
  <si>
    <t>Heavy 2D6</t>
  </si>
  <si>
    <t>-2</t>
  </si>
  <si>
    <t>Revenant Pulsar</t>
  </si>
  <si>
    <t>60"</t>
  </si>
  <si>
    <t>Heavy 6</t>
  </si>
  <si>
    <t>-4</t>
  </si>
  <si>
    <t>Sonic Lance</t>
  </si>
  <si>
    <t>18"</t>
  </si>
  <si>
    <t>Heavy 3D6</t>
  </si>
  <si>
    <t>-3</t>
  </si>
  <si>
    <t>auto-hit, Wounds non-vehicles/monsters on 2+, Wounds vehicles on 4+</t>
  </si>
  <si>
    <t>Titanic Stride</t>
  </si>
  <si>
    <t>Melee</t>
  </si>
  <si>
    <t>U</t>
  </si>
  <si>
    <t>3A per A</t>
  </si>
  <si>
    <t>Revenant Jet Pack (Advances +18"), 4+ inv distortion field vs Ranged Attacks</t>
  </si>
  <si>
    <t>D-bombard</t>
  </si>
  <si>
    <t>72"</t>
  </si>
  <si>
    <t>Heavy 2D3</t>
  </si>
  <si>
    <t>-5</t>
  </si>
  <si>
    <t>Phantom Pulsar</t>
  </si>
  <si>
    <t>Heavy 8</t>
  </si>
  <si>
    <t>Voidstorm ML</t>
  </si>
  <si>
    <t>48"</t>
  </si>
  <si>
    <t>Wraith Glaive</t>
  </si>
  <si>
    <t>x2 (18)</t>
  </si>
  <si>
    <t>built in starcannon</t>
  </si>
  <si>
    <t>Deathshroud cannon</t>
  </si>
  <si>
    <t>12"</t>
  </si>
  <si>
    <t>Heavy D6</t>
  </si>
  <si>
    <t>blast, unmodified W of 5+ = -4AP</t>
  </si>
  <si>
    <t>Inferno lance</t>
  </si>
  <si>
    <t>24"</t>
  </si>
  <si>
    <t>D6</t>
  </si>
  <si>
    <t>melta (half range = D6+2D</t>
  </si>
  <si>
    <t>Wraithknight</t>
  </si>
  <si>
    <t>Heavy Wraithcannon</t>
  </si>
  <si>
    <t>Heavy D3</t>
  </si>
  <si>
    <t>D3+6</t>
  </si>
  <si>
    <t>blast, unmodified W of 6 = +D3MW</t>
  </si>
  <si>
    <t>Blast, unmodified W roll of 4+ causes +3MW</t>
  </si>
  <si>
    <t>Suncannon</t>
  </si>
  <si>
    <t>blast</t>
  </si>
  <si>
    <t>Ghost Glaive</t>
  </si>
  <si>
    <t>+6 (14)</t>
  </si>
  <si>
    <t>U (8)</t>
  </si>
  <si>
    <t>(5A)</t>
  </si>
  <si>
    <t>3A per A (15A)</t>
  </si>
  <si>
    <t>Dire Wolf Torso</t>
  </si>
  <si>
    <t>Paired, Rapid</t>
  </si>
  <si>
    <t>Dire Wolf Carapace</t>
  </si>
  <si>
    <t>Bypass, Carapace, Draining, Shock</t>
  </si>
  <si>
    <t>Blast (3"), Carapace, Draining</t>
  </si>
  <si>
    <t>for 2xShield and Glaive, -1D from attacks</t>
  </si>
  <si>
    <t>for 2x Wraithcannon</t>
  </si>
  <si>
    <t>for suncannon/shield</t>
  </si>
  <si>
    <t>for 2x Deathshroud + scattershield</t>
  </si>
  <si>
    <t>for 2x Inferno Lance and Scattershield, in M can sod off to web-way and set up for deep strike again</t>
  </si>
  <si>
    <t>Special Structure</t>
  </si>
  <si>
    <t>Special Direct</t>
  </si>
  <si>
    <t>Special Devastating</t>
  </si>
  <si>
    <t>Special Critical</t>
  </si>
  <si>
    <t>Holofields Damaged</t>
  </si>
  <si>
    <t>Holofields destroyed</t>
  </si>
  <si>
    <t>Feedback</t>
  </si>
  <si>
    <t>Warlord-Sinister Weapons</t>
  </si>
  <si>
    <t>Warmaster Weapons</t>
  </si>
  <si>
    <t>Warmaster Iconclast Weapons</t>
  </si>
  <si>
    <t>Knight Weapons</t>
  </si>
  <si>
    <t>Armiger Autocannon</t>
  </si>
  <si>
    <t>Reaper Chain Cleaver</t>
  </si>
  <si>
    <t>Thermal Spear</t>
  </si>
  <si>
    <t>Avenger Gatling Cannon</t>
  </si>
  <si>
    <t>Questoris Melee Weapon</t>
  </si>
  <si>
    <t>Rapid Fire Battlecannon</t>
  </si>
  <si>
    <t>Stormspear Rocket Pod</t>
  </si>
  <si>
    <t>Thermal Cannon</t>
  </si>
  <si>
    <t>Rapid</t>
  </si>
  <si>
    <t>Fusion</t>
  </si>
  <si>
    <t>Ordnance</t>
  </si>
  <si>
    <t>Gyges Siege Claw</t>
  </si>
  <si>
    <t>Lightning Lock</t>
  </si>
  <si>
    <t>Volkite Veuglaire</t>
  </si>
  <si>
    <t>Rending</t>
  </si>
  <si>
    <t>Voidbreaker (1)</t>
  </si>
  <si>
    <t>Hekaton Siege Claw</t>
  </si>
  <si>
    <t>Lightning Cannon</t>
  </si>
  <si>
    <t>Cerestus Knight</t>
  </si>
  <si>
    <t>ion</t>
  </si>
  <si>
    <t>Castigator bolt cannon</t>
  </si>
  <si>
    <t>Heavy 16</t>
  </si>
  <si>
    <t>Tempest Warblade</t>
  </si>
  <si>
    <t>2A per A (8)</t>
  </si>
  <si>
    <t>Acheron flame cannon</t>
  </si>
  <si>
    <t>auto-hit</t>
  </si>
  <si>
    <t>Reaper Chainfist</t>
  </si>
  <si>
    <t>D3</t>
  </si>
  <si>
    <t>3A per A (12)</t>
  </si>
  <si>
    <t>Acastus Knight Porphyrion</t>
  </si>
  <si>
    <t>Acastus Autocannon</t>
  </si>
  <si>
    <t>Heavy 2</t>
  </si>
  <si>
    <t>-1</t>
  </si>
  <si>
    <t>Acastus Lascannon</t>
  </si>
  <si>
    <t>Heavy 1</t>
  </si>
  <si>
    <t>Helios defence Missiles</t>
  </si>
  <si>
    <t>+1TH vs Aircraft</t>
  </si>
  <si>
    <t>Twin Magna lascannon</t>
  </si>
  <si>
    <t>Ironstorm Missile Pod</t>
  </si>
  <si>
    <t>w/ Ironstorm / auto</t>
  </si>
  <si>
    <t>w/ Helios / las</t>
  </si>
  <si>
    <t>AT Rng (L)</t>
  </si>
  <si>
    <t>AT Rng (S)</t>
  </si>
  <si>
    <t>Acc (S)</t>
  </si>
  <si>
    <t>Acc (L)</t>
  </si>
  <si>
    <t>Vulcan Mega Bolter</t>
  </si>
  <si>
    <t>TLD</t>
  </si>
  <si>
    <t>T (8 1/4")</t>
  </si>
  <si>
    <t>Firestorm</t>
  </si>
  <si>
    <t>Blast, Maximal</t>
  </si>
  <si>
    <t>H 4D6</t>
  </si>
  <si>
    <t>H 20</t>
  </si>
  <si>
    <t>H 2D3</t>
  </si>
  <si>
    <t>D6+3</t>
  </si>
  <si>
    <t>H 2D6</t>
  </si>
  <si>
    <t>AML</t>
  </si>
  <si>
    <t>Melta</t>
  </si>
  <si>
    <t>Volcano</t>
  </si>
  <si>
    <t>Fist</t>
  </si>
  <si>
    <t>H 12</t>
  </si>
  <si>
    <t>H 3D3</t>
  </si>
  <si>
    <t>H D6</t>
  </si>
  <si>
    <t>Blast, indirect</t>
  </si>
  <si>
    <t>Melta, Blast</t>
  </si>
  <si>
    <t>4A</t>
  </si>
  <si>
    <t>Barrage</t>
  </si>
  <si>
    <t>Blast, Fusion</t>
  </si>
  <si>
    <t>Blast, Draining</t>
  </si>
  <si>
    <t>Concussive</t>
  </si>
  <si>
    <t>-&gt;</t>
  </si>
  <si>
    <t>24/32</t>
  </si>
  <si>
    <t>20/24</t>
  </si>
  <si>
    <t>Phantom Titan Weapons</t>
  </si>
  <si>
    <t>Revenant Titan Weapons</t>
  </si>
  <si>
    <t>Wraithknight Weapons</t>
  </si>
  <si>
    <t>5 (no blast), 2 (blast), 1 (melta)</t>
  </si>
  <si>
    <t>Phantom Arm</t>
  </si>
  <si>
    <t>Phantom Wing</t>
  </si>
  <si>
    <t>n/a</t>
  </si>
  <si>
    <t>Imperator</t>
  </si>
  <si>
    <t>Overlapping Point Defence network</t>
  </si>
  <si>
    <t>Head Crit 4</t>
  </si>
  <si>
    <t>Body Crit 4</t>
  </si>
  <si>
    <t>Leg weapon array disabled</t>
  </si>
  <si>
    <t>Leg Crit 4</t>
  </si>
  <si>
    <t>Suzerain Class Plasma Destructor</t>
  </si>
  <si>
    <t>Warmaster Arm</t>
  </si>
  <si>
    <t>Fusion (Draining), Maximal Fire</t>
  </si>
  <si>
    <t>Revelator Missile Launcher</t>
  </si>
  <si>
    <t>Warmaster Carapace</t>
  </si>
  <si>
    <t>Apocalypse Missile Array</t>
  </si>
  <si>
    <t>Warmaster Shoulder</t>
  </si>
  <si>
    <t>Desolator Chainsword</t>
  </si>
  <si>
    <t>Kruis Siege Drill</t>
  </si>
  <si>
    <t>Krius Grav Imploder</t>
  </si>
  <si>
    <t>Iconoclast Arm</t>
  </si>
  <si>
    <t>Melee, Rending, Bypass</t>
  </si>
  <si>
    <t>Melee, Fusion (Draining)</t>
  </si>
  <si>
    <t>Short: Melee, Rending  Long: Concussive, Draining, Ordnance, Quake</t>
  </si>
  <si>
    <t>Imperator Weapons</t>
  </si>
  <si>
    <t>Starshatter Plasma Annihilator</t>
  </si>
  <si>
    <t>Imperator Left Arm</t>
  </si>
  <si>
    <t>Hellstorm Gatling Blaster</t>
  </si>
  <si>
    <t>Imperator Right Arm</t>
  </si>
  <si>
    <t>Ordnance, Concussive</t>
  </si>
  <si>
    <t>Draining, Plasma Overcharge</t>
  </si>
  <si>
    <t>Paired Apocalypse Missile Launchers</t>
  </si>
  <si>
    <t>Imperator Carapace Array 1</t>
  </si>
  <si>
    <t>Imperator Carapace Array 2</t>
  </si>
  <si>
    <t>Shieldbane (Draining), Carapace, Paired</t>
  </si>
  <si>
    <t>Imperator Carapace Volcano Cannon</t>
  </si>
  <si>
    <t>Imperator Carapace Fore</t>
  </si>
  <si>
    <t>Draining, Blast (3"), Carapace</t>
  </si>
  <si>
    <t>Imperator Carapace Quake Cannon</t>
  </si>
  <si>
    <t>Imperator Carapace Aft</t>
  </si>
  <si>
    <t>Blast (5"), Concussive, Quake, Carapace</t>
  </si>
  <si>
    <t>Imperator Leg Vulcan Mega Bolter Array</t>
  </si>
  <si>
    <t>Imperator Leg Weapon Array</t>
  </si>
  <si>
    <t>(AMLs/TLDs/VMBs = 6x Warhound Equivalent + Volcano/Quake = 2 Reaver/Warlord Equivalent weapon systems -&gt; ~11 Damage at AP11)</t>
  </si>
  <si>
    <t>Combined Shoulder/Carapace Weapons</t>
  </si>
  <si>
    <t>Combined</t>
  </si>
  <si>
    <t>Shieldbane, Ordnance</t>
  </si>
  <si>
    <t>Carapace, Concussive, Limited(4), Ordnance</t>
  </si>
  <si>
    <t>Combined Carapace/Leg Arrays</t>
  </si>
  <si>
    <t>Revenant Shoulder</t>
  </si>
  <si>
    <t>Revenant Arm</t>
  </si>
  <si>
    <t>Wraithknight arm</t>
  </si>
  <si>
    <t>Front 180</t>
  </si>
  <si>
    <t>- Focussed</t>
  </si>
  <si>
    <t>Skathach arm</t>
  </si>
  <si>
    <t>Body 0</t>
  </si>
  <si>
    <t>Legs 0</t>
  </si>
  <si>
    <t>Special 0</t>
  </si>
  <si>
    <t>Head 0</t>
  </si>
  <si>
    <t>at avg. AP</t>
  </si>
  <si>
    <t>Change Damage capacity at AP to take into account -ve bonuses to get through armour - done! 27/9</t>
  </si>
  <si>
    <t>Warbringer, Iconoclast, Imperator! - done 13/9</t>
  </si>
  <si>
    <t>Shield Type</t>
  </si>
  <si>
    <t>H</t>
  </si>
  <si>
    <t>Holofields and other shielding</t>
  </si>
  <si>
    <r>
      <rPr>
        <b/>
        <sz val="11"/>
        <color theme="1"/>
        <rFont val="Calibri"/>
        <family val="2"/>
        <scheme val="minor"/>
      </rPr>
      <t xml:space="preserve">Bypass and Melee </t>
    </r>
    <r>
      <rPr>
        <sz val="11"/>
        <color theme="1"/>
        <rFont val="Calibri"/>
        <family val="2"/>
        <scheme val="minor"/>
      </rPr>
      <t>(Warp is different)</t>
    </r>
  </si>
  <si>
    <t>Weapons that ignore Void Shields, ignore 1/3 of the total damage capacity of a Titan. = *1.5 TDO. But they also do no damage against Void Shields.</t>
  </si>
  <si>
    <t>Weighted Damage Capacity</t>
  </si>
  <si>
    <t>Castigator Pattern Bolt Cannon</t>
  </si>
  <si>
    <t>Tempest Warblade / Archeron Reaper</t>
  </si>
  <si>
    <t>Archeron Flame Cannon</t>
  </si>
  <si>
    <t>Ion Gauntlet Shield Shock Blast</t>
  </si>
  <si>
    <t>Cerastus Shock Lance</t>
  </si>
  <si>
    <t>Twin Magma Lascannon</t>
  </si>
  <si>
    <t>Meltagun</t>
  </si>
  <si>
    <t>Autohit</t>
  </si>
  <si>
    <t>Graviton Destructor</t>
  </si>
  <si>
    <t>Concussive, Rending</t>
  </si>
  <si>
    <t>Graviton Ruinator</t>
  </si>
  <si>
    <t>Carapace, Voidbreaker (2), Beam (2) (Draining)</t>
  </si>
  <si>
    <t>Fusion - Damage at Short Range = +D10 rather than + D6. Makes no difference to max damage, but more probability of higher AP</t>
  </si>
  <si>
    <t>Vortex / Warp Missiles - Warp has a separate formula currently</t>
  </si>
  <si>
    <t>Melee (and bypass/Warp) weapons - double damage for picking location, remove VS impact by formulae, smash attack. (2 armour vs 1 VS -&gt; *1.5 damage) - introduced v0.08 23/11/22</t>
  </si>
  <si>
    <t>Knights - some stats added over time, more to go. Specifics around Acastus life expectancy being closer to 2 turns than 3</t>
  </si>
  <si>
    <t>update Volkites to only be +x hits IF hit, not per hit - done 23/11/22</t>
  </si>
  <si>
    <t>add graviton guns! - done 23/11/22</t>
  </si>
  <si>
    <t>Voidbreaker(1) weapons for Knights - currently only doing Voidbreaker(2) calcs in formula</t>
  </si>
  <si>
    <t>Updated Damage calc 23/11/22, so Blast is no longer mutually exclusive to other factors.</t>
  </si>
  <si>
    <t>If you have a weapon with it and the target has shields, you are using it! If you don't, you're not using the weapon to fullest potential - consider this with weapon choices (e.g. Wingrove Pattern: twin Volcano and carapace Laser Blasers)</t>
  </si>
  <si>
    <t>it's Voidbreaker(2) ok? - this covers all current titan weapons, though will need an update to the formulae for Knight Volkite weapons, which are Vb(1)</t>
  </si>
  <si>
    <t>Add diagrams of the Blast rolls to miss still hitting</t>
  </si>
  <si>
    <t>Add diagrams of distances to bases on board sizes</t>
  </si>
  <si>
    <t>Turns in S.Range</t>
  </si>
  <si>
    <t>Turns in L.Range</t>
  </si>
  <si>
    <t>Graviton Singularity Cannon</t>
  </si>
  <si>
    <t>Blast (3"), Concussive</t>
  </si>
  <si>
    <t>Rending, Melee</t>
  </si>
  <si>
    <t>Atrapos Lascutter</t>
  </si>
  <si>
    <t>Cerastus</t>
  </si>
  <si>
    <t>Fusion, Melee</t>
  </si>
  <si>
    <t>Blast (3"), Paired</t>
  </si>
  <si>
    <t>Barrage, Rapid</t>
  </si>
  <si>
    <t>Twin Lascannon</t>
  </si>
  <si>
    <t>Twin Conversion Beam Cannon</t>
  </si>
  <si>
    <t>Blast (5"), Paired</t>
  </si>
  <si>
    <t>Karacnos Mortar Battery</t>
  </si>
  <si>
    <t>Barrage, Rending</t>
  </si>
  <si>
    <t>Twin Volkite Culverins</t>
  </si>
  <si>
    <t>Min Qty</t>
  </si>
  <si>
    <t>Max Qty</t>
  </si>
  <si>
    <t>Lord Scion</t>
  </si>
  <si>
    <t>Voidbreaker (2), Beam (2) (Draining)</t>
  </si>
  <si>
    <t>Knights</t>
  </si>
  <si>
    <t>Starcannon</t>
  </si>
  <si>
    <t>Tiger Shark AX-1-0</t>
  </si>
  <si>
    <t>Manta</t>
  </si>
  <si>
    <t>Barracuda</t>
  </si>
  <si>
    <t>Tiger Shark</t>
  </si>
  <si>
    <t>Ta'unar</t>
  </si>
  <si>
    <t>Fliers</t>
  </si>
  <si>
    <t>Fliers in AT would work slightly differently. 
Movement.
Fliers move in straight lines, not in their forwards arc. They would not be able to turn as easily, typically only one 45 turn unless very agile. They cannot just put on a hand-brake in mid-air, so would need to accellerate / decellerate between speeds. 
Shooting and getting shot at.
Fliers are harder to hit due to their increased speed, so -1TH. Most weapons are fixed forwards, so could only fire in corridor, but, as they are faster than other ground units, would bring their weapons to bear sooner, so fire at the end of their Movement phase. They may be interrupted by a First Fire / AA gun during their movement. Counting as that unit's activation for the phase.</t>
  </si>
  <si>
    <t>Point Defense System</t>
  </si>
  <si>
    <t>Bridge Structure</t>
  </si>
  <si>
    <t>Bridge Direct</t>
  </si>
  <si>
    <t>Bridge Devastating</t>
  </si>
  <si>
    <t>Bridge Critical</t>
  </si>
  <si>
    <t>Bridge 0</t>
  </si>
  <si>
    <t>Bridge 1</t>
  </si>
  <si>
    <t>Bridge 2</t>
  </si>
  <si>
    <t>Bridge 3</t>
  </si>
  <si>
    <t>Bridge 4</t>
  </si>
  <si>
    <t>Bridge 5</t>
  </si>
  <si>
    <t>Bridge 6</t>
  </si>
  <si>
    <t>Bridge 7</t>
  </si>
  <si>
    <t>Bridge 8</t>
  </si>
  <si>
    <t>Bridge 9</t>
  </si>
  <si>
    <t>Bridge Crit 1</t>
  </si>
  <si>
    <t>Bridge Crit 2</t>
  </si>
  <si>
    <t>Bridge Crit 3</t>
  </si>
  <si>
    <t>Bridge Crit 4</t>
  </si>
  <si>
    <t>Wing Structure</t>
  </si>
  <si>
    <t>Wing Direct</t>
  </si>
  <si>
    <t>Wing Devastating</t>
  </si>
  <si>
    <t>Wing Critical</t>
  </si>
  <si>
    <t>Wings 0</t>
  </si>
  <si>
    <t>Wings 1</t>
  </si>
  <si>
    <t>Wings 2</t>
  </si>
  <si>
    <t>Wings 3</t>
  </si>
  <si>
    <t>Wings 4</t>
  </si>
  <si>
    <t>Wings 5</t>
  </si>
  <si>
    <t>Wings 6</t>
  </si>
  <si>
    <t>Wings 7</t>
  </si>
  <si>
    <t>Wings 8</t>
  </si>
  <si>
    <t>Wings 9</t>
  </si>
  <si>
    <t>Wings Crit 1</t>
  </si>
  <si>
    <t>Wings Crit 2</t>
  </si>
  <si>
    <t>Wings Crit 3</t>
  </si>
  <si>
    <t>Wing Crit 4</t>
  </si>
  <si>
    <t>Stormsurge</t>
  </si>
  <si>
    <t>Riptide</t>
  </si>
  <si>
    <t>Strength</t>
  </si>
  <si>
    <t>8/9/11</t>
  </si>
  <si>
    <t>4/5</t>
  </si>
  <si>
    <t>3/4</t>
  </si>
  <si>
    <t>4/7 at the top</t>
  </si>
  <si>
    <t>4/7 near bottom</t>
  </si>
  <si>
    <t>adjusted</t>
  </si>
  <si>
    <t>Tau Weapons</t>
  </si>
  <si>
    <t>Riptide Burst Cannon</t>
  </si>
  <si>
    <t>Riptide Ion Cannon</t>
  </si>
  <si>
    <t>Riptide secondary weapons</t>
  </si>
  <si>
    <t>Stormsurge silly big gun</t>
  </si>
  <si>
    <t>Stormsurge missile Launchers</t>
  </si>
  <si>
    <t>Stormsurge secondary weapons</t>
  </si>
  <si>
    <t>Ta'unar Nexus Missiles</t>
  </si>
  <si>
    <t>Ta'unar missiles</t>
  </si>
  <si>
    <t>Ta'unar secondary Missiles</t>
  </si>
  <si>
    <t>Barracuda Ion</t>
  </si>
  <si>
    <t>Barracuda Burst</t>
  </si>
  <si>
    <t>Barracuda Rail</t>
  </si>
  <si>
    <t>Drone Turrets (CIB/Burst)</t>
  </si>
  <si>
    <t>Tiger Shark Twin Ion</t>
  </si>
  <si>
    <t>Tiger Shark Twin Burst</t>
  </si>
  <si>
    <t>Tiger Shark Twin Rail</t>
  </si>
  <si>
    <t>Manta twin Triple Ions</t>
  </si>
  <si>
    <t>Missile Pods</t>
  </si>
  <si>
    <t>Tau use Dispersion / Energy Fields = Ion</t>
  </si>
  <si>
    <t>Ta'unar Tri-axis Ion Cannon</t>
  </si>
  <si>
    <t>Ta'unar Fusion Eradicator</t>
  </si>
  <si>
    <t>Ta'unar Heavy Rail Cannon Array</t>
  </si>
  <si>
    <t>Twin Heavy Rail Cannon</t>
  </si>
  <si>
    <t>Ta'unar Pulse Ordnance Driver</t>
  </si>
  <si>
    <t>Short TH</t>
  </si>
  <si>
    <t>3+ to shock</t>
  </si>
  <si>
    <t>Warp</t>
  </si>
  <si>
    <t>avg structure damage</t>
  </si>
  <si>
    <t>crits</t>
  </si>
  <si>
    <t>liklihood of at least 2x Crits</t>
  </si>
  <si>
    <t>avg crits</t>
  </si>
  <si>
    <t>avg damage</t>
  </si>
  <si>
    <t># of missiles</t>
  </si>
  <si>
    <t>Long TH (Targetted body)</t>
  </si>
  <si>
    <t>odds</t>
  </si>
  <si>
    <t>AT Dice</t>
  </si>
  <si>
    <t>Head</t>
  </si>
  <si>
    <t>Special</t>
  </si>
  <si>
    <t>Leg</t>
  </si>
  <si>
    <t>Shock with Dire Wolf Neutron Laser</t>
  </si>
  <si>
    <t>If shutdown, then reduce reactor by 2 pips in Damage Control Phase. In End Phase, remove Shutdown Order (but titan still has no shields)</t>
  </si>
  <si>
    <t>Superficial Shock</t>
  </si>
  <si>
    <t>Chance per attack</t>
  </si>
  <si>
    <t>Side Armour</t>
  </si>
  <si>
    <t>Conversion Beam Dissolutor</t>
  </si>
  <si>
    <t>Beam, Bypass</t>
  </si>
  <si>
    <t>Weighted Damage Calc</t>
  </si>
  <si>
    <t>Legs</t>
  </si>
  <si>
    <t>(Special)</t>
  </si>
  <si>
    <t>Direct</t>
  </si>
  <si>
    <t>Devastating</t>
  </si>
  <si>
    <t>Critical</t>
  </si>
  <si>
    <t>Average</t>
  </si>
  <si>
    <t>(dif)</t>
  </si>
  <si>
    <t>weighted TDO factor</t>
  </si>
  <si>
    <t>*each increase of 2.111 over AP9.27 doubles damage</t>
  </si>
  <si>
    <t>old</t>
  </si>
  <si>
    <t>how many 2.111s different is it?</t>
  </si>
  <si>
    <t>=1+(AP-9.277)/2.111</t>
  </si>
  <si>
    <t>WTDO</t>
  </si>
  <si>
    <t>TVSO per 100Pts</t>
  </si>
  <si>
    <t>@ avg. AP</t>
  </si>
  <si>
    <t>TDO per 100Pts</t>
  </si>
  <si>
    <t>Updated Weighted TDOs based on difference in Direct/Crit/Dev</t>
  </si>
  <si>
    <t>Updated life expectancy also based on weighting of armour value</t>
  </si>
  <si>
    <t>http://www.at-stats.info/wp-content/uploads/2023/03/Eldar-Titan-Terminals-variant-lower-power-v1.04.pdf</t>
  </si>
  <si>
    <t>AV/AP</t>
  </si>
  <si>
    <t>new</t>
  </si>
  <si>
    <t>Front Armour</t>
  </si>
  <si>
    <t>Draining (Long)</t>
  </si>
  <si>
    <t>Conversion Beam Extirpator</t>
  </si>
  <si>
    <t>Draining, Maximal Fire (Long)</t>
  </si>
  <si>
    <t>Conversion Beam Extirpator (Maximal)</t>
  </si>
  <si>
    <t>Draining</t>
  </si>
  <si>
    <t>Volkite Desolator</t>
  </si>
  <si>
    <t>Twin Magma Lascannon (no blast)</t>
  </si>
  <si>
    <t>Twin Conversion Beam Cannon (no blast)</t>
  </si>
  <si>
    <t>Paired</t>
  </si>
  <si>
    <t>Holofields save 1/3, 1/2, or 2/3rds of all hits on structure (except against all the blast weapons). No Titan is going to spend it's time standing still (SnS) unless it can out-range it's opponent, in which case it's not taking (or likely dishing out too much) damage anyway, so counting this as 1/2 = *2 to structure (1/2 of all structure (1/2) + 1/2 of the saved structure (1/4) + 1/2 of the saved, saves (1/8) -&gt; +1 structure).
EDIT: This assumption is incorrect, as at least half of all shots fired are blast and tend to be the higher strength weapons. This is less of an issue for Revenants, which can get to the 2+ save w/ jets and power of holofields, but then aren't dealing any damage for the first turn. so may be a different calc for them.
generally a Phantom is saving 4+ if it pushes holofields (which it almost always will), but will get a 5+ vs blast therefore, should be about 7/18ths saves not 50% -&gt; 0.636363* structure
Still need to work out what Ions and Scatters do.</t>
  </si>
  <si>
    <t>Bypass, Melee, Rending</t>
  </si>
  <si>
    <t xml:space="preserve">based on ratio of total damage output (over life expectancy) of TVSO*1:TDO*2@(1+(avg AP-9.277))^0.35)/3. </t>
  </si>
  <si>
    <t>Damage Capacity of a Titan is 1.5x it's Voidshields (as they can be re-generated) + 2/3rds of it's total number of hits it can take to all locations together. i.e. if you don't target a location, you will need to hit about twice as many times as needed to kill a titan if targeting only one location. Weapons targeting specific locations can pick a single location and therefore do twice as much equivalent damage (see Targeting and Beam)
For an Eldar Titan this is 3/5ths of it's total number of hit locations, due to the additional location.</t>
  </si>
  <si>
    <t>Swarmer Missiles</t>
  </si>
  <si>
    <t>Shudder Missiles</t>
  </si>
  <si>
    <t>Barrage, Quake</t>
  </si>
  <si>
    <t>Incisor Pattern Melta Lance</t>
  </si>
  <si>
    <t>Damage needs update w/ adding Blast</t>
  </si>
  <si>
    <t>Causes between 4/10 (Warhound 3" blast) to 6/10 (Warlord 5" blast ) extra hits when missing BS test, so just count it as 0.5x extra hits when rolling a miss, and 2x damage when on target</t>
  </si>
  <si>
    <t>Power Drain, Bypass, Blast 5"</t>
  </si>
  <si>
    <t>Carapace, Draining (Long)</t>
  </si>
  <si>
    <t>Conversion Beam Dissolutor (short)</t>
  </si>
  <si>
    <t>Conversion Beam Dissolutor (Long)</t>
  </si>
  <si>
    <t>Ghostkeel</t>
  </si>
  <si>
    <t>Markerlight</t>
  </si>
  <si>
    <t>*</t>
  </si>
  <si>
    <t>varies</t>
  </si>
  <si>
    <t>Railgun / Swiftstrike Railgun</t>
  </si>
  <si>
    <t>Cyclic Ion Raker</t>
  </si>
  <si>
    <t>Ion Cannon</t>
  </si>
  <si>
    <t>Fusion gun</t>
  </si>
  <si>
    <t>Fusion Collider</t>
  </si>
  <si>
    <t>Fusion Eradicator</t>
  </si>
  <si>
    <t>Tri-axis Ion Cannon</t>
  </si>
  <si>
    <t>Heavy Rail Cannon Array</t>
  </si>
  <si>
    <t>Carapace, Ordnance</t>
  </si>
  <si>
    <t>T'aunar Carapace</t>
  </si>
  <si>
    <t>T'aunar Arm</t>
  </si>
  <si>
    <t>Ghostkeel Arm</t>
  </si>
  <si>
    <t>Seeker Missile</t>
  </si>
  <si>
    <t>Seeker, Single Use</t>
  </si>
  <si>
    <t>Burst Cannon</t>
  </si>
  <si>
    <t>Swiftstrike Burst Cannon</t>
  </si>
  <si>
    <t>Heavy Burst Cannon</t>
  </si>
  <si>
    <t>Twin Nexus Missile System</t>
  </si>
  <si>
    <t>Blast, Ion</t>
  </si>
  <si>
    <t>at 36", the Asterius has it's Mortar battery + Conversion Beamers</t>
  </si>
  <si>
    <t>Warhound has to get to 24" to use Plasma Blastguns, but at -1 TH</t>
  </si>
  <si>
    <t>Asterius</t>
  </si>
  <si>
    <t>Karacnos - 6 shots at S4 = 4 hits on shields after FF of conversion</t>
  </si>
  <si>
    <t>FF w/ the beamer would force 6 3+ saves on shields = shields down on Dire Wolf, poss on Warhound</t>
  </si>
  <si>
    <t>Warhound would have zero or 2 shields after Damage Control</t>
  </si>
  <si>
    <t>Warhound needs to move to get Plasmas in range, so wouldn't first fire - at -1TH, would land 2 on target (4 hits) and poss 1 glancing for ~3 hits at S10 (w/ maximal)</t>
  </si>
  <si>
    <t>An asterius would have a good chance to kill the Warhound if it landed 3/4 on a 3+ TH, and would kill it if 4 landed</t>
  </si>
  <si>
    <t>if it went to a second turn, the Warhound would be operating with VSG burnout and a plasma leak, taking damage on AV7. The Asterius would be firing at full effect, still takin damage on AV10</t>
  </si>
  <si>
    <t>Odds of Asterius &lt;210&gt; vs Plasma Warhound &lt;240&gt;</t>
  </si>
  <si>
    <t>Odds of 1-shotting Asterius w/ Reaver Volcano, it can't - 1 on-target hit at S10 = max 4 pips damage</t>
  </si>
  <si>
    <t>Odds of 1-shotting Asterius w/ Belicosa Volcano, if on target (3+), S12 = 2 chances of a 5+ = 2/3rds of 50%= 33% + a bit for the miss odds 0.6 chance of a hit-&gt; ~50%</t>
  </si>
  <si>
    <t>if Firstfire Command check on 3+, gets 2 goes at 3+, if not, 1 round at 4+</t>
  </si>
  <si>
    <t>C-Beamer - 4 dice with blast -&gt; 2.666 hits -&gt; 6 (as a miss generates 0.5hits)  call it 6</t>
  </si>
  <si>
    <t>4 hits at 4+ = shields down, then 6 hits at S9 = 1 of each dice roll = superficial, 1 direct, 2 Devs and two crits on the Body -&gt; 9 points + 2 crit = a Dead Warhound. On the Legs = 2 direct, 2 Dev, 1 crit = last pip/crit. On head = 3 direct, 2 dev = last pip/2nd crit. , or if it was shields down on FF, Karacnos would land 2 hits at S4+3 for 1 pip on head or legs.</t>
  </si>
  <si>
    <t>An Asterius would one shot a Reaver w/ 2 shields remaining if it hit the body</t>
  </si>
  <si>
    <t>a Warhound needs the reaver to already have no shields, and roll a bit above average for both hits and damage landing 3/4 hits and roll at least two crits to do the same</t>
  </si>
  <si>
    <t>A warhound could kill an Asterius in one turn if it can get 3/4 hits on a 4+ TH, and follow that up with at least 2x 5+</t>
  </si>
  <si>
    <t>Asterius would take 2 directs and 1 dev (1-4 for Direct, 5-6 for Dev) for 3 structure points remaining</t>
  </si>
  <si>
    <t>Odds of killing an Asterius with a Reaver (Apoc/Laser Blaster/Volcano) = 1pip from apocs, 2 pips from LB, 3pips from Volcano = on last pip</t>
  </si>
  <si>
    <t>Odds of killing a Warhound w/ a Reaver (Apoc/Laser Blaster/Volcano) = 1-2 shields w/ Apocs, 1.5 shields from LB, 1 dev, 1 crit from Volcano = 1 location not well</t>
  </si>
  <si>
    <t>Twin Conversion Beam Cannon (1 die each)</t>
  </si>
  <si>
    <t>Super Heavy Tanks</t>
  </si>
  <si>
    <t>Imperial</t>
  </si>
  <si>
    <t>Eldar</t>
  </si>
  <si>
    <t>Head 11</t>
  </si>
  <si>
    <t>Head 12</t>
  </si>
  <si>
    <t>Head 13</t>
  </si>
  <si>
    <t>Engines</t>
  </si>
  <si>
    <t>Targeting</t>
  </si>
  <si>
    <t>Shields</t>
  </si>
  <si>
    <t>Stabilisers</t>
  </si>
  <si>
    <t>Need a better calc for Knight Chassis vs Titan Damage capacity to do it all in One based on Shield Type  - Ion / Dispersion are only on Knights - V/H are only on Titans (currently)
poss - if there's nothing in other damage tracks, then it's a Knight, so treat as such, then take Voids/Holos/etc. into account</t>
  </si>
  <si>
    <t>What does ability to repair structure do to survivability (total structure) of Eldar Titans? - it adds to it, but by how much, how many dice can one afford to direct towards these repairs during the Titan's life? (and it's changed since v1.09)</t>
  </si>
  <si>
    <t>Firestorm is also auto-hit - added +2TH currently, which is equivalent - doesn't take into account other targets, like blast doesn't</t>
  </si>
  <si>
    <t>Add Titan Build Types;
Stand and Shoot (SnS) First Fire orders for 2/3 turns
Move and Shoot (MnS) just as it is
Run and Thump (RnT) don't fire anything until turn 3 and add a smash attack with charge bonus</t>
  </si>
  <si>
    <t>after a successful hit; 1= 1SP, 2-3 = D3 SP, 4-6 = CD</t>
  </si>
  <si>
    <t>Imperial Super-Heavy Tank Weapons</t>
  </si>
  <si>
    <t>Inferno, VMB, TLD, Plasma Blastgun, Volkite Eradicator, Volcano, Rapid-fire Battlecannon, 0-2 Twin-Lascannons.</t>
  </si>
  <si>
    <t>Demolisher Cannon</t>
  </si>
  <si>
    <t>Super Heavy Tank</t>
  </si>
  <si>
    <t>Pulse Ordnance Drivers</t>
  </si>
  <si>
    <t>Missile Pod</t>
  </si>
  <si>
    <t>aircraft</t>
  </si>
  <si>
    <t>Tau</t>
  </si>
  <si>
    <t>2x Cyclic Ion Blaster</t>
  </si>
  <si>
    <t>2x Long-barrelled Burst Cannon</t>
  </si>
  <si>
    <t>Ion Cannon Array</t>
  </si>
  <si>
    <t>Baneblade</t>
  </si>
  <si>
    <t>Falchion</t>
  </si>
  <si>
    <t>Phantom Pulsar (Powered)</t>
  </si>
  <si>
    <t>Revenant Pulsar (Powered)</t>
  </si>
  <si>
    <t>Sonic Lance (Powered)</t>
  </si>
  <si>
    <t>Firestorm *, Bypass</t>
  </si>
  <si>
    <t>Eldar Engine of Vaul</t>
  </si>
  <si>
    <t>Lynx</t>
  </si>
  <si>
    <t>Graviton Obliterator</t>
  </si>
  <si>
    <t>Volkite Annihilator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</si>
</sst>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
  </numFmts>
  <fonts count="25" x14ac:knownFonts="1">
    <font>
      <sz val="11"/>
      <color theme="1"/>
      <name val="Calibri"/>
      <family val="2"/>
      <scheme val="minor"/>
    </font>
    <font>
      <sz val="9"/>
      <color theme="1"/>
      <name val="Calibri"/>
      <family val="2"/>
      <scheme val="minor"/>
    </font>
    <font>
      <sz val="9"/>
      <color indexed="81"/>
      <name val="Tahoma"/>
      <family val="2"/>
    </font>
    <font>
      <b/>
      <sz val="9"/>
      <color indexed="81"/>
      <name val="Tahoma"/>
      <family val="2"/>
    </font>
    <font>
      <sz val="11"/>
      <color theme="2" tint="-0.249977111117893"/>
      <name val="Calibri"/>
      <family val="2"/>
      <scheme val="minor"/>
    </font>
    <font>
      <b/>
      <sz val="11"/>
      <color theme="1"/>
      <name val="Calibri"/>
      <family val="2"/>
      <scheme val="minor"/>
    </font>
    <font>
      <sz val="8"/>
      <color theme="1"/>
      <name val="Calibri"/>
      <family val="2"/>
      <scheme val="minor"/>
    </font>
    <font>
      <sz val="6"/>
      <color theme="1"/>
      <name val="Calibri"/>
      <family val="2"/>
      <scheme val="minor"/>
    </font>
    <font>
      <b/>
      <sz val="12"/>
      <color theme="1"/>
      <name val="Calibri"/>
      <family val="2"/>
      <scheme val="minor"/>
    </font>
    <font>
      <sz val="11"/>
      <color rgb="FFC00000"/>
      <name val="Calibri"/>
      <family val="2"/>
      <scheme val="minor"/>
    </font>
    <font>
      <sz val="11"/>
      <color rgb="FFFF0000"/>
      <name val="Calibri"/>
      <family val="2"/>
      <scheme val="minor"/>
    </font>
    <font>
      <sz val="11"/>
      <color theme="0" tint="-0.249977111117893"/>
      <name val="Calibri"/>
      <family val="2"/>
      <scheme val="minor"/>
    </font>
    <font>
      <sz val="9"/>
      <color rgb="FF00B050"/>
      <name val="Calibri"/>
      <family val="2"/>
      <scheme val="minor"/>
    </font>
    <font>
      <sz val="11"/>
      <color rgb="FF00B050"/>
      <name val="Calibri"/>
      <family val="2"/>
      <scheme val="minor"/>
    </font>
    <font>
      <strike/>
      <sz val="11"/>
      <color theme="1"/>
      <name val="Calibri"/>
      <family val="2"/>
      <scheme val="minor"/>
    </font>
    <font>
      <sz val="11"/>
      <name val="Calibri"/>
      <family val="2"/>
      <scheme val="minor"/>
    </font>
    <font>
      <sz val="11"/>
      <color theme="5"/>
      <name val="Calibri"/>
      <family val="2"/>
      <scheme val="minor"/>
    </font>
    <font>
      <sz val="11"/>
      <color rgb="FFFFFF00"/>
      <name val="Calibri"/>
      <family val="2"/>
      <scheme val="minor"/>
    </font>
    <font>
      <sz val="11"/>
      <color theme="9"/>
      <name val="Calibri"/>
      <family val="2"/>
      <scheme val="minor"/>
    </font>
    <font>
      <sz val="11"/>
      <color rgb="FFFFC000"/>
      <name val="Calibri"/>
      <family val="2"/>
      <scheme val="minor"/>
    </font>
    <font>
      <sz val="10"/>
      <color theme="1"/>
      <name val="Calibri"/>
      <family val="2"/>
      <scheme val="minor"/>
    </font>
    <font>
      <u/>
      <sz val="11"/>
      <color theme="10"/>
      <name val="Calibri"/>
      <family val="2"/>
      <scheme val="minor"/>
    </font>
    <font>
      <sz val="9"/>
      <color indexed="81"/>
      <name val="Tahoma"/>
      <charset val="1"/>
    </font>
    <font>
      <b/>
      <sz val="9"/>
      <color indexed="81"/>
      <name val="Tahoma"/>
      <charset val="1"/>
    </font>
    <font>
      <b/>
      <sz val="11"/>
      <color rgb="FFFF0000"/>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rgb="FFFF000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21" fillId="0" borderId="0" applyNumberFormat="0" applyFill="0" applyBorder="0" applyAlignment="0" applyProtection="0"/>
  </cellStyleXfs>
  <cellXfs count="74">
    <xf numFmtId="0" fontId="0" fillId="0" borderId="0" xfId="0"/>
    <xf numFmtId="0" fontId="1" fillId="0" borderId="0" xfId="0" applyFont="1" applyAlignment="1">
      <alignment textRotation="180"/>
    </xf>
    <xf numFmtId="0" fontId="0" fillId="0" borderId="0" xfId="0" applyAlignment="1">
      <alignment horizontal="center"/>
    </xf>
    <xf numFmtId="0" fontId="0" fillId="0" borderId="0" xfId="0" applyAlignment="1">
      <alignment horizontal="center" vertical="center"/>
    </xf>
    <xf numFmtId="0" fontId="0" fillId="0" borderId="0" xfId="0" quotePrefix="1"/>
    <xf numFmtId="0" fontId="4" fillId="0" borderId="0" xfId="0" applyFont="1"/>
    <xf numFmtId="0" fontId="5" fillId="0" borderId="0" xfId="0" applyFont="1"/>
    <xf numFmtId="0" fontId="0" fillId="0" borderId="0" xfId="0" applyAlignment="1">
      <alignment vertical="center"/>
    </xf>
    <xf numFmtId="0" fontId="0" fillId="0" borderId="0" xfId="0" quotePrefix="1" applyAlignment="1">
      <alignment horizontal="center" vertical="center"/>
    </xf>
    <xf numFmtId="164" fontId="0" fillId="0" borderId="0" xfId="0" quotePrefix="1" applyNumberFormat="1" applyAlignment="1">
      <alignment horizontal="center" vertical="center"/>
    </xf>
    <xf numFmtId="164" fontId="0" fillId="0" borderId="0" xfId="0" applyNumberFormat="1" applyAlignment="1">
      <alignment horizontal="center" vertical="center"/>
    </xf>
    <xf numFmtId="0" fontId="6" fillId="0" borderId="0" xfId="0" applyFont="1"/>
    <xf numFmtId="0" fontId="6" fillId="0" borderId="0" xfId="0" applyFont="1" applyAlignment="1">
      <alignment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165" fontId="0" fillId="0" borderId="0" xfId="0" applyNumberFormat="1"/>
    <xf numFmtId="165" fontId="0" fillId="0" borderId="0" xfId="0" quotePrefix="1" applyNumberFormat="1"/>
    <xf numFmtId="0" fontId="8" fillId="0" borderId="0" xfId="0" applyFont="1"/>
    <xf numFmtId="0" fontId="5" fillId="0" borderId="0" xfId="0" applyFont="1" applyAlignment="1">
      <alignment horizontal="center"/>
    </xf>
    <xf numFmtId="0" fontId="0" fillId="0" borderId="0" xfId="0" applyAlignment="1">
      <alignment wrapText="1"/>
    </xf>
    <xf numFmtId="166" fontId="0" fillId="0" borderId="0" xfId="0" applyNumberFormat="1"/>
    <xf numFmtId="0" fontId="1" fillId="0" borderId="0" xfId="0" applyFont="1" applyAlignment="1">
      <alignment horizontal="center" textRotation="180"/>
    </xf>
    <xf numFmtId="0" fontId="1" fillId="0" borderId="0" xfId="0" applyFont="1" applyAlignment="1">
      <alignment textRotation="180" wrapText="1"/>
    </xf>
    <xf numFmtId="0" fontId="5" fillId="0" borderId="0" xfId="0" applyFont="1" applyAlignment="1">
      <alignment horizontal="center" wrapText="1"/>
    </xf>
    <xf numFmtId="0" fontId="5" fillId="0" borderId="0" xfId="0" quotePrefix="1" applyFont="1" applyAlignment="1">
      <alignment horizontal="center" wrapText="1"/>
    </xf>
    <xf numFmtId="2" fontId="0" fillId="0" borderId="0" xfId="0" applyNumberFormat="1"/>
    <xf numFmtId="1" fontId="5" fillId="0" borderId="0" xfId="0" applyNumberFormat="1" applyFont="1" applyAlignment="1">
      <alignment horizontal="center" wrapText="1"/>
    </xf>
    <xf numFmtId="1" fontId="0" fillId="0" borderId="0" xfId="0" applyNumberFormat="1"/>
    <xf numFmtId="0" fontId="9" fillId="0" borderId="0" xfId="0" applyFont="1" applyAlignment="1">
      <alignment horizontal="center" vertical="center"/>
    </xf>
    <xf numFmtId="0" fontId="0" fillId="0" borderId="1" xfId="0" applyBorder="1"/>
    <xf numFmtId="0" fontId="0" fillId="0" borderId="1" xfId="0" applyBorder="1" applyAlignment="1">
      <alignment horizontal="center" vertical="center"/>
    </xf>
    <xf numFmtId="0" fontId="0" fillId="0" borderId="2" xfId="0" applyBorder="1"/>
    <xf numFmtId="0" fontId="0" fillId="0" borderId="2" xfId="0" applyBorder="1" applyAlignment="1">
      <alignment horizontal="center" vertical="center"/>
    </xf>
    <xf numFmtId="0" fontId="0" fillId="0" borderId="0" xfId="0" quotePrefix="1" applyAlignment="1">
      <alignment horizontal="center"/>
    </xf>
    <xf numFmtId="0" fontId="0" fillId="0" borderId="0" xfId="0" applyAlignment="1">
      <alignment horizontal="left"/>
    </xf>
    <xf numFmtId="0" fontId="11" fillId="0" borderId="0" xfId="0" applyFont="1"/>
    <xf numFmtId="0" fontId="11" fillId="0" borderId="0" xfId="0" applyFont="1" applyAlignment="1">
      <alignment horizontal="center" vertical="center"/>
    </xf>
    <xf numFmtId="164" fontId="11" fillId="0" borderId="0" xfId="0" applyNumberFormat="1" applyFont="1" applyAlignment="1">
      <alignment horizontal="center" vertical="center"/>
    </xf>
    <xf numFmtId="0" fontId="11" fillId="0" borderId="0" xfId="0" applyFont="1" applyAlignment="1">
      <alignment horizontal="center"/>
    </xf>
    <xf numFmtId="0" fontId="12" fillId="0" borderId="0" xfId="0" applyFont="1" applyAlignment="1">
      <alignment textRotation="180"/>
    </xf>
    <xf numFmtId="0" fontId="13" fillId="0" borderId="0" xfId="0" applyFont="1"/>
    <xf numFmtId="0" fontId="10" fillId="0" borderId="0" xfId="0" applyFont="1"/>
    <xf numFmtId="165" fontId="0" fillId="2" borderId="0" xfId="0" quotePrefix="1" applyNumberFormat="1" applyFill="1"/>
    <xf numFmtId="0" fontId="0" fillId="2" borderId="0" xfId="0" applyFill="1"/>
    <xf numFmtId="0" fontId="14" fillId="0" borderId="0" xfId="0" applyFont="1"/>
    <xf numFmtId="0" fontId="10" fillId="0" borderId="0" xfId="0" applyFont="1" applyAlignment="1">
      <alignment horizontal="center"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165" fontId="4" fillId="0" borderId="0" xfId="0" applyNumberFormat="1" applyFont="1"/>
    <xf numFmtId="165" fontId="4" fillId="0" borderId="0" xfId="0" quotePrefix="1" applyNumberFormat="1" applyFont="1"/>
    <xf numFmtId="0" fontId="4" fillId="0" borderId="0" xfId="0" applyFont="1" applyAlignment="1">
      <alignment horizontal="center"/>
    </xf>
    <xf numFmtId="0" fontId="15" fillId="0" borderId="0" xfId="0" applyFont="1" applyAlignment="1">
      <alignment horizontal="center" vertical="center"/>
    </xf>
    <xf numFmtId="0" fontId="16" fillId="0" borderId="0" xfId="0" applyFont="1"/>
    <xf numFmtId="0" fontId="17" fillId="0" borderId="0" xfId="0" applyFont="1"/>
    <xf numFmtId="0" fontId="18" fillId="0" borderId="0" xfId="0" applyFont="1"/>
    <xf numFmtId="0" fontId="19" fillId="0" borderId="0" xfId="0" applyFont="1"/>
    <xf numFmtId="10" fontId="0" fillId="0" borderId="0" xfId="0" applyNumberFormat="1"/>
    <xf numFmtId="0" fontId="6" fillId="0" borderId="0" xfId="0" applyFont="1" applyAlignment="1">
      <alignment horizontal="right" wrapText="1"/>
    </xf>
    <xf numFmtId="0" fontId="20" fillId="0" borderId="0" xfId="0" applyFont="1"/>
    <xf numFmtId="0" fontId="21" fillId="0" borderId="0" xfId="1"/>
    <xf numFmtId="0" fontId="0" fillId="0" borderId="0" xfId="0" applyAlignment="1">
      <alignment horizontal="right"/>
    </xf>
    <xf numFmtId="165" fontId="0" fillId="3" borderId="0" xfId="0" quotePrefix="1" applyNumberFormat="1" applyFill="1"/>
    <xf numFmtId="165" fontId="0" fillId="4" borderId="0" xfId="0" quotePrefix="1" applyNumberFormat="1" applyFill="1"/>
    <xf numFmtId="0" fontId="0" fillId="0" borderId="0" xfId="0" applyAlignment="1">
      <alignment horizontal="left" vertical="center"/>
    </xf>
    <xf numFmtId="0" fontId="24"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top" wrapText="1"/>
    </xf>
    <xf numFmtId="0" fontId="0" fillId="0" borderId="0" xfId="0" applyAlignment="1">
      <alignment horizontal="left" wrapText="1"/>
    </xf>
    <xf numFmtId="0" fontId="0" fillId="0" borderId="0" xfId="0"/>
    <xf numFmtId="0" fontId="14" fillId="0" borderId="0" xfId="0" applyFont="1"/>
  </cellXfs>
  <cellStyles count="2">
    <cellStyle name="Hyperlink" xfId="1" builtinId="8"/>
    <cellStyle name="Normal" xfId="0" builtinId="0"/>
  </cellStyles>
  <dxfs count="8">
    <dxf>
      <font>
        <color auto="1"/>
      </font>
      <fill>
        <patternFill>
          <bgColor theme="7" tint="0.59996337778862885"/>
        </patternFill>
      </fill>
    </dxf>
    <dxf>
      <font>
        <color auto="1"/>
      </font>
      <fill>
        <patternFill>
          <bgColor theme="5" tint="0.59996337778862885"/>
        </patternFill>
      </fill>
    </dxf>
    <dxf>
      <fill>
        <patternFill>
          <bgColor rgb="FFFF6600"/>
        </patternFill>
      </fill>
    </dxf>
    <dxf>
      <fill>
        <patternFill>
          <bgColor theme="8" tint="0.59996337778862885"/>
        </patternFill>
      </fill>
    </dxf>
    <dxf>
      <font>
        <color auto="1"/>
      </font>
      <fill>
        <patternFill>
          <bgColor theme="7" tint="0.59996337778862885"/>
        </patternFill>
      </fill>
    </dxf>
    <dxf>
      <font>
        <color auto="1"/>
      </font>
      <fill>
        <patternFill>
          <bgColor theme="5" tint="0.59996337778862885"/>
        </patternFill>
      </fill>
    </dxf>
    <dxf>
      <fill>
        <patternFill>
          <bgColor rgb="FFFF6600"/>
        </patternFill>
      </fill>
    </dxf>
    <dxf>
      <fill>
        <patternFill>
          <bgColor theme="8" tint="0.59996337778862885"/>
        </patternFill>
      </fill>
    </dxf>
  </dxfs>
  <tableStyles count="0" defaultTableStyle="TableStyleMedium2" defaultPivotStyle="PivotStyleLight16"/>
  <colors>
    <mruColors>
      <color rgb="FFFFFF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t-stats.info/wp-content/uploads/2023/03/Eldar-Titan-Terminals-variant-lower-power-v1.04.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58323-A14C-4DAF-BC18-E2611B9BA7A5}">
  <dimension ref="A1:W78"/>
  <sheetViews>
    <sheetView zoomScale="80" zoomScaleNormal="80" workbookViewId="0">
      <pane ySplit="1" topLeftCell="A32" activePane="bottomLeft" state="frozen"/>
      <selection pane="bottomLeft" activeCell="J35" sqref="J35"/>
    </sheetView>
  </sheetViews>
  <sheetFormatPr defaultRowHeight="14.4" x14ac:dyDescent="0.3"/>
  <cols>
    <col min="1" max="1" width="9.5546875" customWidth="1"/>
    <col min="2" max="2" width="17.6640625" customWidth="1"/>
    <col min="3" max="3" width="6.44140625" customWidth="1"/>
    <col min="4" max="4" width="4.44140625" customWidth="1"/>
    <col min="5" max="5" width="22.6640625" customWidth="1"/>
    <col min="6" max="6" width="4.44140625" customWidth="1"/>
    <col min="7" max="7" width="22.6640625" customWidth="1"/>
    <col min="8" max="8" width="4.44140625" customWidth="1"/>
    <col min="9" max="9" width="22.6640625" customWidth="1"/>
    <col min="10" max="10" width="5.6640625" customWidth="1"/>
    <col min="11" max="14" width="8.6640625" customWidth="1"/>
    <col min="15" max="15" width="10.44140625" customWidth="1"/>
    <col min="16" max="16" width="8.5546875" style="28" customWidth="1"/>
    <col min="17" max="17" width="6.88671875" customWidth="1"/>
    <col min="18" max="18" width="10.33203125" customWidth="1"/>
    <col min="19" max="19" width="6.44140625" customWidth="1"/>
    <col min="20" max="20" width="8.77734375" customWidth="1"/>
    <col min="21" max="21" width="11.21875" customWidth="1"/>
    <col min="22" max="22" width="13.6640625" customWidth="1"/>
  </cols>
  <sheetData>
    <row r="1" spans="1:23" s="24" customFormat="1" ht="43.2" x14ac:dyDescent="0.3">
      <c r="A1" s="24" t="s">
        <v>351</v>
      </c>
      <c r="B1" s="24" t="s">
        <v>352</v>
      </c>
      <c r="C1" s="24" t="s">
        <v>358</v>
      </c>
      <c r="D1" s="24" t="s">
        <v>353</v>
      </c>
      <c r="E1" s="24" t="s">
        <v>352</v>
      </c>
      <c r="F1" s="24" t="s">
        <v>354</v>
      </c>
      <c r="G1" s="24" t="s">
        <v>352</v>
      </c>
      <c r="H1" s="24" t="s">
        <v>355</v>
      </c>
      <c r="I1" s="24" t="s">
        <v>352</v>
      </c>
      <c r="J1" s="24" t="s">
        <v>159</v>
      </c>
      <c r="K1" s="24" t="s">
        <v>366</v>
      </c>
      <c r="L1" s="24" t="s">
        <v>362</v>
      </c>
      <c r="M1" s="25" t="s">
        <v>776</v>
      </c>
      <c r="N1" s="24" t="s">
        <v>367</v>
      </c>
      <c r="O1" s="24" t="s">
        <v>363</v>
      </c>
      <c r="P1" s="27" t="s">
        <v>385</v>
      </c>
      <c r="Q1" s="24" t="s">
        <v>365</v>
      </c>
      <c r="R1" s="24" t="s">
        <v>775</v>
      </c>
      <c r="S1" s="24" t="s">
        <v>356</v>
      </c>
      <c r="T1" s="24" t="s">
        <v>777</v>
      </c>
      <c r="U1" s="24" t="s">
        <v>774</v>
      </c>
      <c r="V1" s="24" t="s">
        <v>383</v>
      </c>
      <c r="W1" s="24" t="s">
        <v>384</v>
      </c>
    </row>
    <row r="2" spans="1:23" x14ac:dyDescent="0.3">
      <c r="C2" t="s">
        <v>361</v>
      </c>
      <c r="N2" t="s">
        <v>368</v>
      </c>
    </row>
    <row r="3" spans="1:23" x14ac:dyDescent="0.3">
      <c r="A3" s="6" t="s">
        <v>309</v>
      </c>
    </row>
    <row r="5" spans="1:23" x14ac:dyDescent="0.3">
      <c r="A5" s="6" t="s">
        <v>0</v>
      </c>
    </row>
    <row r="6" spans="1:23" x14ac:dyDescent="0.3">
      <c r="A6">
        <v>2</v>
      </c>
      <c r="B6" t="str" cm="1">
        <f t="array" ref="B6">INDEX(AT_Chassis!$A$1:$A$37,Summary!$A6,1)</f>
        <v>Warhound</v>
      </c>
      <c r="C6" t="s">
        <v>357</v>
      </c>
      <c r="D6">
        <v>27</v>
      </c>
      <c r="E6" t="str" cm="1">
        <f t="array" ref="E6">IF(COUNTA(D6)&gt;0,INDEX(AT_Weapons!$A$1:$A$189,Summary!D6,1),"No Weapon")</f>
        <v>Vulcan Mega-Bolter</v>
      </c>
      <c r="F6">
        <v>27</v>
      </c>
      <c r="G6" t="str" cm="1">
        <f t="array" ref="G6">IF(COUNTA(F6)&gt;0,INDEX(AT_Weapons!$A$1:$A$189,Summary!F6,1),"No Weapon")</f>
        <v>Vulcan Mega-Bolter</v>
      </c>
      <c r="I6" t="str" cm="1">
        <f t="array" ref="I6">IF(COUNTA(H6)&gt;0,INDEX(AT_Weapons!$A$1:$A$189,Summary!H6,1),"No Weapon")</f>
        <v>No Weapon</v>
      </c>
      <c r="J6" cm="1">
        <f t="array" ref="J6">INDEX(AT_Chassis!$M$1:$M$37,A6,1)+INDEX(AT_Weapons!$K$1:$K$189,D6,1)+INDEX(AT_Weapons!$K$1:$K$189,F6,1)+IF(H6&gt;0,INDEX(AT_Weapons!$K$1:$K$189,H6,1),0)</f>
        <v>200</v>
      </c>
      <c r="K6" s="21" cm="1">
        <f t="array" ref="K6">INDEX(AT_Weapons!$AS$1:$AS$189,D6,1)+INDEX(AT_Weapons!$AS$1:$AS$189,F6,1)+IF(H6&gt;0,INDEX(AT_Weapons!$AS$1:$AS$189,H6,1),0)</f>
        <v>3.1111111111111107</v>
      </c>
      <c r="L6" s="21" cm="1">
        <f t="array" ref="L6">INDEX(AT_Weapons!$AU$1:$AU$189,D6,1)+INDEX(AT_Weapons!$AU$1:$AU$189,F6,1)+IF(H6&gt;0,INDEX(AT_Weapons!$AU$1:$AU$189,H6,1),0)</f>
        <v>1.7888888888888888</v>
      </c>
      <c r="M6" s="21" cm="1">
        <f t="array" ref="M6">(INDEX(AT_Weapons!$AV$1:$AV$438,D6,1)+INDEX(AT_Weapons!$AV$1:$AV$438,F6,1)+IF(H6&gt;0,INDEX(AT_Weapons!$AV$1:$AV$438,H6,1),0))/COUNTA(D6,F6,H6)</f>
        <v>9</v>
      </c>
      <c r="N6" s="21" t="str">
        <f t="shared" ref="N6:N14" si="0">CONCATENATE(TEXT(L6/K6,"0.0"), " : 1")</f>
        <v>0.6 : 1</v>
      </c>
      <c r="O6" s="21" cm="1">
        <f t="array" ref="O6">INDEX(AT_Chassis!$DV$1:$DV$33,A6)/21*(310/J6)*3</f>
        <v>3.0550709435834991</v>
      </c>
      <c r="Q6" s="21">
        <f t="shared" ref="Q6:Q14" si="1">K6*O6</f>
        <v>9.5046651578153298</v>
      </c>
      <c r="R6" s="21">
        <f t="shared" ref="R6:R14" si="2">Q6*100/J6</f>
        <v>4.7523325789076649</v>
      </c>
      <c r="S6" s="21">
        <f t="shared" ref="S6:S14" si="3">L6*O6</f>
        <v>5.4651824657438146</v>
      </c>
      <c r="T6" s="21">
        <f t="shared" ref="T6:T14" si="4">S6/J6*100</f>
        <v>2.7325912328719073</v>
      </c>
      <c r="U6" s="26">
        <f t="shared" ref="U6:U14" si="5">(Q6+2*S6*(1+(M6-9.277)/2.11)^0.8)/3</f>
        <v>6.4237195850419297</v>
      </c>
      <c r="V6" s="26">
        <f t="shared" ref="V6:V14" si="6">U6*100/J6</f>
        <v>3.2118597925209649</v>
      </c>
    </row>
    <row r="7" spans="1:23" x14ac:dyDescent="0.3">
      <c r="A7">
        <v>2</v>
      </c>
      <c r="B7" t="str" cm="1">
        <f t="array" ref="B7">INDEX(AT_Chassis!$A$1:$A$37,Summary!$A7,1)</f>
        <v>Warhound</v>
      </c>
      <c r="C7" t="s">
        <v>357</v>
      </c>
      <c r="D7">
        <v>32</v>
      </c>
      <c r="E7" t="str" cm="1">
        <f t="array" ref="E7">IF(COUNTA(D7)&gt;0,INDEX(AT_Weapons!$A$1:$A$189,Summary!D7,1),"No Weapon")</f>
        <v>Plasma Blastgun (Maximal)</v>
      </c>
      <c r="F7">
        <v>32</v>
      </c>
      <c r="G7" t="str" cm="1">
        <f t="array" ref="G7">IF(COUNTA(F7)&gt;0,INDEX(AT_Weapons!$A$1:$A$189,Summary!F7,1),"No Weapon")</f>
        <v>Plasma Blastgun (Maximal)</v>
      </c>
      <c r="I7" t="str" cm="1">
        <f t="array" ref="I7">IF(COUNTA(H7)&gt;0,INDEX(AT_Weapons!$A$1:$A$189,Summary!H7,1),"No Weapon")</f>
        <v>No Weapon</v>
      </c>
      <c r="J7" cm="1">
        <f t="array" ref="J7">INDEX(AT_Chassis!$M$1:$M$37,A7,1)+INDEX(AT_Weapons!$K$1:$K$189,D7,1)+INDEX(AT_Weapons!$K$1:$K$189,F7,1)+IF(H7&gt;0,INDEX(AT_Weapons!$K$1:$K$189,H7,1),0)</f>
        <v>240</v>
      </c>
      <c r="K7" s="21" cm="1">
        <f t="array" ref="K7">INDEX(AT_Weapons!$AS$1:$AS$189,D7,1)+INDEX(AT_Weapons!$AS$1:$AS$189,F7,1)+IF(H7&gt;0,INDEX(AT_Weapons!$AS$1:$AS$189,H7,1),0)</f>
        <v>2</v>
      </c>
      <c r="L7" s="21" cm="1">
        <f t="array" ref="L7">INDEX(AT_Weapons!$AU$1:$AU$189,D7,1)+INDEX(AT_Weapons!$AU$1:$AU$189,F7,1)+IF(H7&gt;0,INDEX(AT_Weapons!$AU$1:$AU$189,H7,1),0)</f>
        <v>2.7129629629629632</v>
      </c>
      <c r="M7" s="21" cm="1">
        <f t="array" ref="M7">(INDEX(AT_Weapons!$AV$1:$AV$438,D7,1)+INDEX(AT_Weapons!$AV$1:$AV$438,F7,1)+IF(H7&gt;0,INDEX(AT_Weapons!$AV$1:$AV$438,H7,1),0))/COUNTA(D7,F7,H7)</f>
        <v>12</v>
      </c>
      <c r="N7" s="21" t="str">
        <f t="shared" si="0"/>
        <v>1.4 : 1</v>
      </c>
      <c r="O7" s="21" cm="1">
        <f t="array" ref="O7">INDEX(AT_Chassis!$DV$1:$DV$33,A7)/21*(310/J7)*3</f>
        <v>2.5458924529862492</v>
      </c>
      <c r="Q7" s="21">
        <f t="shared" si="1"/>
        <v>5.0917849059724984</v>
      </c>
      <c r="R7" s="21">
        <f t="shared" si="2"/>
        <v>2.1215770441552078</v>
      </c>
      <c r="S7" s="21">
        <f t="shared" si="3"/>
        <v>6.9069119326386215</v>
      </c>
      <c r="T7" s="21">
        <f t="shared" si="4"/>
        <v>2.8778799719327588</v>
      </c>
      <c r="U7" s="26">
        <f t="shared" si="5"/>
        <v>10.633199315877425</v>
      </c>
      <c r="V7" s="26">
        <f t="shared" si="6"/>
        <v>4.4304997149489269</v>
      </c>
    </row>
    <row r="8" spans="1:23" x14ac:dyDescent="0.3">
      <c r="A8">
        <v>2</v>
      </c>
      <c r="B8" t="str" cm="1">
        <f t="array" ref="B8">INDEX(AT_Chassis!$A$1:$A$37,Summary!$A8,1)</f>
        <v>Warhound</v>
      </c>
      <c r="C8" t="s">
        <v>357</v>
      </c>
      <c r="D8">
        <v>32</v>
      </c>
      <c r="E8" t="str" cm="1">
        <f t="array" ref="E8">IF(COUNTA(D8)&gt;0,INDEX(AT_Weapons!$A$1:$A$189,Summary!D8,1),"No Weapon")</f>
        <v>Plasma Blastgun (Maximal)</v>
      </c>
      <c r="F8">
        <v>38</v>
      </c>
      <c r="G8" t="str" cm="1">
        <f t="array" ref="G8">IF(COUNTA(F8)&gt;0,INDEX(AT_Weapons!$A$1:$A$189,Summary!F8,1),"No Weapon")</f>
        <v>Volkite Eradicator</v>
      </c>
      <c r="I8" t="str" cm="1">
        <f t="array" ref="I8">IF(COUNTA(H8)&gt;0,INDEX(AT_Weapons!$A$1:$A$189,Summary!H8,1),"No Weapon")</f>
        <v>No Weapon</v>
      </c>
      <c r="J8" cm="1">
        <f t="array" ref="J8">INDEX(AT_Chassis!$M$1:$M$37,A8,1)+INDEX(AT_Weapons!$K$1:$K$189,D8,1)+INDEX(AT_Weapons!$K$1:$K$189,F8,1)+IF(H8&gt;0,INDEX(AT_Weapons!$K$1:$K$189,H8,1),0)</f>
        <v>230</v>
      </c>
      <c r="K8" s="21" cm="1">
        <f t="array" ref="K8">INDEX(AT_Weapons!$AS$1:$AS$189,D8,1)+INDEX(AT_Weapons!$AS$1:$AS$189,F8,1)+IF(H8&gt;0,INDEX(AT_Weapons!$AS$1:$AS$189,H8,1),0)</f>
        <v>2.63</v>
      </c>
      <c r="L8" s="21" cm="1">
        <f t="array" ref="L8">INDEX(AT_Weapons!$AU$1:$AU$189,D8,1)+INDEX(AT_Weapons!$AU$1:$AU$189,F8,1)+IF(H8&gt;0,INDEX(AT_Weapons!$AU$1:$AU$189,H8,1),0)</f>
        <v>2.1314814814814813</v>
      </c>
      <c r="M8" s="21" cm="1">
        <f t="array" ref="M8">(INDEX(AT_Weapons!$AV$1:$AV$438,D8,1)+INDEX(AT_Weapons!$AV$1:$AV$438,F8,1)+IF(H8&gt;0,INDEX(AT_Weapons!$AV$1:$AV$438,H8,1),0))/COUNTA(D8,F8,H8)</f>
        <v>10.5</v>
      </c>
      <c r="N8" s="21" t="str">
        <f t="shared" si="0"/>
        <v>0.8 : 1</v>
      </c>
      <c r="O8" s="21" cm="1">
        <f t="array" ref="O8">INDEX(AT_Chassis!$DV$1:$DV$33,A8)/21*(310/J8)*3</f>
        <v>2.6565834292030424</v>
      </c>
      <c r="Q8" s="21">
        <f t="shared" si="1"/>
        <v>6.9868144188040011</v>
      </c>
      <c r="R8" s="21">
        <f t="shared" si="2"/>
        <v>3.0377453994800008</v>
      </c>
      <c r="S8" s="21">
        <f t="shared" si="3"/>
        <v>5.6624583833568547</v>
      </c>
      <c r="T8" s="21">
        <f t="shared" si="4"/>
        <v>2.4619384275464586</v>
      </c>
      <c r="U8" s="26">
        <f t="shared" si="5"/>
        <v>7.7709069802432511</v>
      </c>
      <c r="V8" s="26">
        <f t="shared" si="6"/>
        <v>3.3786552088014132</v>
      </c>
    </row>
    <row r="9" spans="1:23" x14ac:dyDescent="0.3">
      <c r="A9">
        <v>2</v>
      </c>
      <c r="B9" t="str" cm="1">
        <f t="array" ref="B9">INDEX(AT_Chassis!$A$1:$A$37,Summary!$A9,1)</f>
        <v>Warhound</v>
      </c>
      <c r="C9" t="s">
        <v>357</v>
      </c>
      <c r="D9">
        <v>26</v>
      </c>
      <c r="E9" t="str" cm="1">
        <f t="array" ref="E9">IF(COUNTA(D9)&gt;0,INDEX(AT_Weapons!$A$1:$A$189,Summary!D9,1),"No Weapon")</f>
        <v>Inferno Gun</v>
      </c>
      <c r="F9">
        <v>26</v>
      </c>
      <c r="G9" t="str" cm="1">
        <f t="array" ref="G9">IF(COUNTA(F9)&gt;0,INDEX(AT_Weapons!$A$1:$A$189,Summary!F9,1),"No Weapon")</f>
        <v>Inferno Gun</v>
      </c>
      <c r="I9" t="str" cm="1">
        <f t="array" ref="I9">IF(COUNTA(H9)&gt;0,INDEX(AT_Weapons!$A$1:$A$189,Summary!H9,1),"No Weapon")</f>
        <v>No Weapon</v>
      </c>
      <c r="J9" cm="1">
        <f t="array" ref="J9">INDEX(AT_Chassis!$M$1:$M$37,A9,1)+INDEX(AT_Weapons!$K$1:$K$189,D9,1)+INDEX(AT_Weapons!$K$1:$K$189,F9,1)+IF(H9&gt;0,INDEX(AT_Weapons!$K$1:$K$189,H9,1),0)</f>
        <v>220</v>
      </c>
      <c r="K9" s="21" cm="1">
        <f t="array" ref="K9">INDEX(AT_Weapons!$AS$1:$AS$189,D9,1)+INDEX(AT_Weapons!$AS$1:$AS$189,F9,1)+IF(H9&gt;0,INDEX(AT_Weapons!$AS$1:$AS$189,H9,1),0)</f>
        <v>0.73333333333333339</v>
      </c>
      <c r="L9" s="21" cm="1">
        <f t="array" ref="L9">INDEX(AT_Weapons!$AU$1:$AU$189,D9,1)+INDEX(AT_Weapons!$AU$1:$AU$189,F9,1)+IF(H9&gt;0,INDEX(AT_Weapons!$AU$1:$AU$189,H9,1),0)</f>
        <v>2.5833333333333335</v>
      </c>
      <c r="M9" s="21" cm="1">
        <f t="array" ref="M9">(INDEX(AT_Weapons!$AV$1:$AV$438,D9,1)+INDEX(AT_Weapons!$AV$1:$AV$438,F9,1)+IF(H9&gt;0,INDEX(AT_Weapons!$AV$1:$AV$438,H9,1),0))/COUNTA(D9,F9,H9)</f>
        <v>9</v>
      </c>
      <c r="N9" s="21" t="str">
        <f t="shared" si="0"/>
        <v>3.5 : 1</v>
      </c>
      <c r="O9" s="21" cm="1">
        <f t="array" ref="O9">INDEX(AT_Chassis!$DV$1:$DV$33,A9)/21*(310/J9)*3</f>
        <v>2.7773372214395446</v>
      </c>
      <c r="Q9" s="21">
        <f t="shared" si="1"/>
        <v>2.0367139623889994</v>
      </c>
      <c r="R9" s="21">
        <f t="shared" si="2"/>
        <v>0.92577907381318159</v>
      </c>
      <c r="S9" s="21">
        <f t="shared" si="3"/>
        <v>7.1747878220521573</v>
      </c>
      <c r="T9" s="21">
        <f t="shared" si="4"/>
        <v>3.2612671918418901</v>
      </c>
      <c r="U9" s="26">
        <f t="shared" si="5"/>
        <v>4.9527796049572261</v>
      </c>
      <c r="V9" s="26">
        <f t="shared" si="6"/>
        <v>2.2512634567987391</v>
      </c>
    </row>
    <row r="10" spans="1:23" x14ac:dyDescent="0.3">
      <c r="A10">
        <v>2</v>
      </c>
      <c r="B10" t="str" cm="1">
        <f t="array" ref="B10">INDEX(AT_Chassis!$A$1:$A$37,Summary!$A10,1)</f>
        <v>Warhound</v>
      </c>
      <c r="C10" t="s">
        <v>357</v>
      </c>
      <c r="D10">
        <v>29</v>
      </c>
      <c r="E10" t="str" cm="1">
        <f t="array" ref="E10">IF(COUNTA(D10)&gt;0,INDEX(AT_Weapons!$A$1:$A$189,Summary!D10,1),"No Weapon")</f>
        <v>Turbo Laser Destructor</v>
      </c>
      <c r="F10">
        <v>29</v>
      </c>
      <c r="G10" t="str" cm="1">
        <f t="array" ref="G10">IF(COUNTA(F10)&gt;0,INDEX(AT_Weapons!$A$1:$A$189,Summary!F10,1),"No Weapon")</f>
        <v>Turbo Laser Destructor</v>
      </c>
      <c r="I10" t="str" cm="1">
        <f t="array" ref="I10">IF(COUNTA(H10)&gt;0,INDEX(AT_Weapons!$A$1:$A$189,Summary!H10,1),"No Weapon")</f>
        <v>No Weapon</v>
      </c>
      <c r="J10" cm="1">
        <f t="array" ref="J10">INDEX(AT_Chassis!$M$1:$M$37,A10,1)+INDEX(AT_Weapons!$K$1:$K$189,D10,1)+INDEX(AT_Weapons!$K$1:$K$189,F10,1)+IF(H10&gt;0,INDEX(AT_Weapons!$K$1:$K$189,H10,1),0)</f>
        <v>220</v>
      </c>
      <c r="K10" s="21" cm="1">
        <f t="array" ref="K10">INDEX(AT_Weapons!$AS$1:$AS$189,D10,1)+INDEX(AT_Weapons!$AS$1:$AS$189,F10,1)+IF(H10&gt;0,INDEX(AT_Weapons!$AS$1:$AS$189,H10,1),0)</f>
        <v>0.88888888888888884</v>
      </c>
      <c r="L10" s="21" cm="1">
        <f t="array" ref="L10">INDEX(AT_Weapons!$AU$1:$AU$189,D10,1)+INDEX(AT_Weapons!$AU$1:$AU$189,F10,1)+IF(H10&gt;0,INDEX(AT_Weapons!$AU$1:$AU$189,H10,1),0)</f>
        <v>1.8518518518518519</v>
      </c>
      <c r="M10" s="21" cm="1">
        <f t="array" ref="M10">(INDEX(AT_Weapons!$AV$1:$AV$438,D10,1)+INDEX(AT_Weapons!$AV$1:$AV$438,F10,1)+IF(H10&gt;0,INDEX(AT_Weapons!$AV$1:$AV$438,H10,1),0))/COUNTA(D10,F10,H10)</f>
        <v>10</v>
      </c>
      <c r="N10" s="21" t="str">
        <f t="shared" si="0"/>
        <v>2.1 : 1</v>
      </c>
      <c r="O10" s="21" cm="1">
        <f t="array" ref="O10">INDEX(AT_Chassis!$DV$1:$DV$33,A10)/21*(310/J10)*3</f>
        <v>2.7773372214395446</v>
      </c>
      <c r="Q10" s="21">
        <f t="shared" si="1"/>
        <v>2.4687441968351505</v>
      </c>
      <c r="R10" s="21">
        <f t="shared" si="2"/>
        <v>1.1221564531068866</v>
      </c>
      <c r="S10" s="21">
        <f t="shared" si="3"/>
        <v>5.1432170767398979</v>
      </c>
      <c r="T10" s="21">
        <f t="shared" si="4"/>
        <v>2.337825943972681</v>
      </c>
      <c r="U10" s="26">
        <f t="shared" si="5"/>
        <v>5.163166184248146</v>
      </c>
      <c r="V10" s="26">
        <f t="shared" si="6"/>
        <v>2.3468937201127935</v>
      </c>
    </row>
    <row r="11" spans="1:23" x14ac:dyDescent="0.3">
      <c r="A11">
        <v>2</v>
      </c>
      <c r="B11" t="str" cm="1">
        <f t="array" ref="B11">INDEX(AT_Chassis!$A$1:$A$37,Summary!$A11,1)</f>
        <v>Warhound</v>
      </c>
      <c r="C11" t="s">
        <v>357</v>
      </c>
      <c r="D11">
        <v>40</v>
      </c>
      <c r="E11" t="str" cm="1">
        <f t="array" ref="E11">IF(COUNTA(D11)&gt;0,INDEX(AT_Weapons!$A$1:$A$189,Summary!D11,1),"No Weapon")</f>
        <v>Conversion Beam Dissolutor</v>
      </c>
      <c r="F11">
        <v>42</v>
      </c>
      <c r="G11" t="str" cm="1">
        <f t="array" ref="G11">IF(COUNTA(F11)&gt;0,INDEX(AT_Weapons!$A$1:$A$189,Summary!F11,1),"No Weapon")</f>
        <v>Swarmer Missiles</v>
      </c>
      <c r="I11" t="str" cm="1">
        <f t="array" ref="I11">IF(COUNTA(H11)&gt;0,INDEX(AT_Weapons!$A$1:$A$189,Summary!H11,1),"No Weapon")</f>
        <v>No Weapon</v>
      </c>
      <c r="J11" cm="1">
        <f t="array" ref="J11">INDEX(AT_Chassis!$M$1:$M$37,A11,1)+INDEX(AT_Weapons!$K$1:$K$189,D11,1)+INDEX(AT_Weapons!$K$1:$K$189,F11,1)+IF(H11&gt;0,INDEX(AT_Weapons!$K$1:$K$189,H11,1),0)</f>
        <v>215</v>
      </c>
      <c r="K11" s="21" cm="1">
        <f t="array" ref="K11">INDEX(AT_Weapons!$AS$1:$AS$189,D11,1)+INDEX(AT_Weapons!$AS$1:$AS$189,F11,1)+IF(H11&gt;0,INDEX(AT_Weapons!$AS$1:$AS$189,H11,1),0)</f>
        <v>0.63827160493827173</v>
      </c>
      <c r="L11" s="21" cm="1">
        <f t="array" ref="L11">INDEX(AT_Weapons!$AU$1:$AU$189,D11,1)+INDEX(AT_Weapons!$AU$1:$AU$189,F11,1)+IF(H11&gt;0,INDEX(AT_Weapons!$AU$1:$AU$189,H11,1),0)</f>
        <v>2.0061728395061729</v>
      </c>
      <c r="M11" s="21" cm="1">
        <f t="array" ref="M11">(INDEX(AT_Weapons!$AV$1:$AV$438,D11,1)+INDEX(AT_Weapons!$AV$1:$AV$438,F11,1)+IF(H11&gt;0,INDEX(AT_Weapons!$AV$1:$AV$438,H11,1),0))/COUNTA(D11,F11,H11)</f>
        <v>10</v>
      </c>
      <c r="N11" s="21" t="str">
        <f t="shared" si="0"/>
        <v>3.1 : 1</v>
      </c>
      <c r="O11" s="21" cm="1">
        <f t="array" ref="O11">INDEX(AT_Chassis!$DV$1:$DV$33,A11)/21*(310/J11)*3</f>
        <v>2.8419264591474409</v>
      </c>
      <c r="Q11" s="21">
        <f t="shared" si="1"/>
        <v>1.8139209621965768</v>
      </c>
      <c r="R11" s="21">
        <f t="shared" si="2"/>
        <v>0.84368416846352401</v>
      </c>
      <c r="S11" s="21">
        <f t="shared" si="3"/>
        <v>5.7013956742155454</v>
      </c>
      <c r="T11" s="21">
        <f t="shared" si="4"/>
        <v>2.6518119414956023</v>
      </c>
      <c r="U11" s="26">
        <f t="shared" si="5"/>
        <v>5.415926814000998</v>
      </c>
      <c r="V11" s="26">
        <f t="shared" si="6"/>
        <v>2.5190357274423243</v>
      </c>
    </row>
    <row r="12" spans="1:23" x14ac:dyDescent="0.3">
      <c r="A12">
        <v>2</v>
      </c>
      <c r="B12" t="str" cm="1">
        <f t="array" ref="B12">INDEX(AT_Chassis!$A$1:$A$37,Summary!$A12,1)</f>
        <v>Warhound</v>
      </c>
      <c r="C12" t="s">
        <v>357</v>
      </c>
      <c r="D12">
        <v>31</v>
      </c>
      <c r="E12" t="str" cm="1">
        <f t="array" ref="E12">IF(COUNTA(D12)&gt;0,INDEX(AT_Weapons!$A$1:$A$189,Summary!D12,1),"No Weapon")</f>
        <v>Plasma Blastgun</v>
      </c>
      <c r="F12">
        <v>31</v>
      </c>
      <c r="G12" t="str" cm="1">
        <f t="array" ref="G12">IF(COUNTA(F12)&gt;0,INDEX(AT_Weapons!$A$1:$A$189,Summary!F12,1),"No Weapon")</f>
        <v>Plasma Blastgun</v>
      </c>
      <c r="I12" t="str" cm="1">
        <f t="array" ref="I12">IF(COUNTA(H12)&gt;0,INDEX(AT_Weapons!$A$1:$A$189,Summary!H12,1),"No Weapon")</f>
        <v>No Weapon</v>
      </c>
      <c r="J12" cm="1">
        <f t="array" ref="J12">INDEX(AT_Chassis!$M$1:$M$37,A12,1)+INDEX(AT_Weapons!$K$1:$K$189,D12,1)+INDEX(AT_Weapons!$K$1:$K$189,F12,1)+IF(H12&gt;0,INDEX(AT_Weapons!$K$1:$K$189,H12,1),0)</f>
        <v>240</v>
      </c>
      <c r="K12" s="21" cm="1">
        <f t="array" ref="K12">INDEX(AT_Weapons!$AS$1:$AS$189,D12,1)+INDEX(AT_Weapons!$AS$1:$AS$189,F12,1)+IF(H12&gt;0,INDEX(AT_Weapons!$AS$1:$AS$189,H12,1),0)</f>
        <v>2</v>
      </c>
      <c r="L12" s="21" cm="1">
        <f t="array" ref="L12">INDEX(AT_Weapons!$AU$1:$AU$189,D12,1)+INDEX(AT_Weapons!$AU$1:$AU$189,F12,1)+IF(H12&gt;0,INDEX(AT_Weapons!$AU$1:$AU$189,H12,1),0)</f>
        <v>2.7129629629629632</v>
      </c>
      <c r="M12" s="21" cm="1">
        <f t="array" ref="M12">(INDEX(AT_Weapons!$AV$1:$AV$438,D12,1)+INDEX(AT_Weapons!$AV$1:$AV$438,F12,1)+IF(H12&gt;0,INDEX(AT_Weapons!$AV$1:$AV$438,H12,1),0))/COUNTA(D12,F12,H12)</f>
        <v>10</v>
      </c>
      <c r="N12" s="21" t="str">
        <f t="shared" si="0"/>
        <v>1.4 : 1</v>
      </c>
      <c r="O12" s="21" cm="1">
        <f t="array" ref="O12">INDEX(AT_Chassis!$DV$1:$DV$33,A12)/21*(310/J12)*3</f>
        <v>2.5458924529862492</v>
      </c>
      <c r="Q12" s="21">
        <f t="shared" si="1"/>
        <v>5.0917849059724984</v>
      </c>
      <c r="R12" s="21">
        <f t="shared" si="2"/>
        <v>2.1215770441552078</v>
      </c>
      <c r="S12" s="21">
        <f t="shared" si="3"/>
        <v>6.9069119326386215</v>
      </c>
      <c r="T12" s="21">
        <f t="shared" si="4"/>
        <v>2.8778799719327588</v>
      </c>
      <c r="U12" s="26">
        <f t="shared" si="5"/>
        <v>7.5258576476985608</v>
      </c>
      <c r="V12" s="26">
        <f t="shared" si="6"/>
        <v>3.1357740198744</v>
      </c>
    </row>
    <row r="13" spans="1:23" x14ac:dyDescent="0.3">
      <c r="A13">
        <v>2</v>
      </c>
      <c r="B13" t="str" cm="1">
        <f t="array" ref="B13">INDEX(AT_Chassis!$A$1:$A$37,Summary!$A13,1)</f>
        <v>Warhound</v>
      </c>
      <c r="C13" t="s">
        <v>357</v>
      </c>
      <c r="D13">
        <v>32</v>
      </c>
      <c r="E13" t="str" cm="1">
        <f t="array" ref="E13">IF(COUNTA(D13)&gt;0,INDEX(AT_Weapons!$A$1:$A$189,Summary!D13,1),"No Weapon")</f>
        <v>Plasma Blastgun (Maximal)</v>
      </c>
      <c r="F13">
        <v>32</v>
      </c>
      <c r="G13" t="str" cm="1">
        <f t="array" ref="G13">IF(COUNTA(F13)&gt;0,INDEX(AT_Weapons!$A$1:$A$189,Summary!F13,1),"No Weapon")</f>
        <v>Plasma Blastgun (Maximal)</v>
      </c>
      <c r="I13" t="str" cm="1">
        <f t="array" ref="I13">IF(COUNTA(H13)&gt;0,INDEX(AT_Weapons!$A$1:$A$189,Summary!H13,1),"No Weapon")</f>
        <v>No Weapon</v>
      </c>
      <c r="J13" cm="1">
        <f t="array" ref="J13">INDEX(AT_Chassis!$M$1:$M$37,A13,1)+INDEX(AT_Weapons!$K$1:$K$189,D13,1)+INDEX(AT_Weapons!$K$1:$K$189,F13,1)+IF(H13&gt;0,INDEX(AT_Weapons!$K$1:$K$189,H13,1),0)</f>
        <v>240</v>
      </c>
      <c r="K13" s="21" cm="1">
        <f t="array" ref="K13">INDEX(AT_Weapons!$AS$1:$AS$189,D13,1)+INDEX(AT_Weapons!$AS$1:$AS$189,F13,1)+IF(H13&gt;0,INDEX(AT_Weapons!$AS$1:$AS$189,H13,1),0)</f>
        <v>2</v>
      </c>
      <c r="L13" s="21" cm="1">
        <f t="array" ref="L13">INDEX(AT_Weapons!$AU$1:$AU$189,D13,1)+INDEX(AT_Weapons!$AU$1:$AU$189,F13,1)+IF(H13&gt;0,INDEX(AT_Weapons!$AU$1:$AU$189,H13,1),0)</f>
        <v>2.7129629629629632</v>
      </c>
      <c r="M13" s="21" cm="1">
        <f t="array" ref="M13">(INDEX(AT_Weapons!$AV$1:$AV$438,D13,1)+INDEX(AT_Weapons!$AV$1:$AV$438,F13,1)+IF(H13&gt;0,INDEX(AT_Weapons!$AV$1:$AV$438,H13,1),0))/COUNTA(D13,F13,H13)</f>
        <v>12</v>
      </c>
      <c r="N13" s="21" t="str">
        <f t="shared" si="0"/>
        <v>1.4 : 1</v>
      </c>
      <c r="O13" s="21" cm="1">
        <f t="array" ref="O13">INDEX(AT_Chassis!$DV$1:$DV$33,A13)/21*(310/J13)*3</f>
        <v>2.5458924529862492</v>
      </c>
      <c r="Q13" s="21">
        <f t="shared" si="1"/>
        <v>5.0917849059724984</v>
      </c>
      <c r="R13" s="21">
        <f t="shared" si="2"/>
        <v>2.1215770441552078</v>
      </c>
      <c r="S13" s="21">
        <f t="shared" si="3"/>
        <v>6.9069119326386215</v>
      </c>
      <c r="T13" s="21">
        <f t="shared" si="4"/>
        <v>2.8778799719327588</v>
      </c>
      <c r="U13" s="26">
        <f t="shared" si="5"/>
        <v>10.633199315877425</v>
      </c>
      <c r="V13" s="26">
        <f t="shared" si="6"/>
        <v>4.4304997149489269</v>
      </c>
    </row>
    <row r="14" spans="1:23" x14ac:dyDescent="0.3">
      <c r="A14">
        <v>2</v>
      </c>
      <c r="B14" t="str" cm="1">
        <f t="array" ref="B14">INDEX(AT_Chassis!$A$1:$A$37,Summary!$A14,1)</f>
        <v>Warhound</v>
      </c>
      <c r="C14" t="s">
        <v>357</v>
      </c>
      <c r="D14">
        <v>33</v>
      </c>
      <c r="E14" t="str" cm="1">
        <f t="array" ref="E14">IF(COUNTA(D14)&gt;0,INDEX(AT_Weapons!$A$1:$A$189,Summary!D14,1),"No Weapon")</f>
        <v>Plasma Blastgun (Focussed Capacitors)</v>
      </c>
      <c r="F14">
        <v>33</v>
      </c>
      <c r="G14" t="str" cm="1">
        <f t="array" ref="G14">IF(COUNTA(F14)&gt;0,INDEX(AT_Weapons!$A$1:$A$189,Summary!F14,1),"No Weapon")</f>
        <v>Plasma Blastgun (Focussed Capacitors)</v>
      </c>
      <c r="I14" t="str" cm="1">
        <f t="array" ref="I14">IF(COUNTA(H14)&gt;0,INDEX(AT_Weapons!$A$1:$A$189,Summary!H14,1),"No Weapon")</f>
        <v>No Weapon</v>
      </c>
      <c r="J14" cm="1">
        <f t="array" ref="J14">INDEX(AT_Chassis!$M$1:$M$37,A14,1)+INDEX(AT_Weapons!$K$1:$K$189,D14,1)+INDEX(AT_Weapons!$K$1:$K$189,F14,1)+IF(H14&gt;0,INDEX(AT_Weapons!$K$1:$K$189,H14,1),0)</f>
        <v>280</v>
      </c>
      <c r="K14" s="21" cm="1">
        <f t="array" ref="K14">INDEX(AT_Weapons!$AS$1:$AS$189,D14,1)+INDEX(AT_Weapons!$AS$1:$AS$189,F14,1)+IF(H14&gt;0,INDEX(AT_Weapons!$AS$1:$AS$189,H14,1),0)</f>
        <v>2.2222222222222223</v>
      </c>
      <c r="L14" s="21" cm="1">
        <f t="array" ref="L14">INDEX(AT_Weapons!$AU$1:$AU$189,D14,1)+INDEX(AT_Weapons!$AU$1:$AU$189,F14,1)+IF(H14&gt;0,INDEX(AT_Weapons!$AU$1:$AU$189,H14,1),0)</f>
        <v>2.8703703703703702</v>
      </c>
      <c r="M14" s="21" cm="1">
        <f t="array" ref="M14">(INDEX(AT_Weapons!$AV$1:$AV$438,D14,1)+INDEX(AT_Weapons!$AV$1:$AV$438,F14,1)+IF(H14&gt;0,INDEX(AT_Weapons!$AV$1:$AV$438,H14,1),0))/COUNTA(D14,F14,H14)</f>
        <v>13</v>
      </c>
      <c r="N14" s="21" t="str">
        <f t="shared" si="0"/>
        <v>1.3 : 1</v>
      </c>
      <c r="O14" s="21" cm="1">
        <f t="array" ref="O14">INDEX(AT_Chassis!$DV$1:$DV$33,A14)/21*(310/J14)*3</f>
        <v>2.182193531131071</v>
      </c>
      <c r="Q14" s="21">
        <f t="shared" si="1"/>
        <v>4.8493189580690466</v>
      </c>
      <c r="R14" s="21">
        <f t="shared" si="2"/>
        <v>1.7318996278818024</v>
      </c>
      <c r="S14" s="21">
        <f t="shared" si="3"/>
        <v>6.2637036541725184</v>
      </c>
      <c r="T14" s="21">
        <f t="shared" si="4"/>
        <v>2.2370370193473281</v>
      </c>
      <c r="U14" s="26">
        <f t="shared" si="5"/>
        <v>11.035933357689965</v>
      </c>
      <c r="V14" s="26">
        <f t="shared" si="6"/>
        <v>3.9414047706035586</v>
      </c>
    </row>
    <row r="15" spans="1:23" x14ac:dyDescent="0.3">
      <c r="K15" s="21"/>
      <c r="L15" s="21"/>
      <c r="M15" s="21"/>
      <c r="N15" s="21"/>
      <c r="O15" s="21"/>
      <c r="Q15" s="21"/>
      <c r="R15" s="21"/>
      <c r="S15" s="21"/>
      <c r="T15" s="21"/>
      <c r="U15" s="26"/>
      <c r="V15" s="26"/>
    </row>
    <row r="16" spans="1:23" x14ac:dyDescent="0.3">
      <c r="A16" s="6" t="s">
        <v>372</v>
      </c>
      <c r="K16" s="21"/>
      <c r="L16" s="21"/>
      <c r="M16" s="21"/>
      <c r="N16" s="21"/>
      <c r="O16" s="21"/>
      <c r="Q16" s="21"/>
      <c r="R16" s="21"/>
      <c r="S16" s="21"/>
      <c r="T16" s="21"/>
      <c r="U16" s="26"/>
      <c r="V16" s="26"/>
    </row>
    <row r="17" spans="1:22" x14ac:dyDescent="0.3">
      <c r="A17">
        <v>3</v>
      </c>
      <c r="B17" t="str" cm="1">
        <f t="array" ref="B17">INDEX(AT_Chassis!$A$1:$A$37,Summary!$A17,1)</f>
        <v>Dire Wolf</v>
      </c>
      <c r="C17" t="s">
        <v>357</v>
      </c>
      <c r="D17">
        <v>47</v>
      </c>
      <c r="E17" t="str" cm="1">
        <f t="array" ref="E17">IF(COUNTA(D17)&gt;0,INDEX(AT_Weapons!$A$1:$A$189,Summary!D17,1),"No Weapon")</f>
        <v>Ardex Defensor Mega-Bolter</v>
      </c>
      <c r="F17">
        <v>48</v>
      </c>
      <c r="G17" t="str" cm="1">
        <f t="array" ref="G17">IF(COUNTA(F17)&gt;0,INDEX(AT_Weapons!$A$1:$A$189,Summary!F17,1),"No Weapon")</f>
        <v>Volcano Cannon</v>
      </c>
      <c r="I17" t="str" cm="1">
        <f t="array" ref="I17">IF(COUNTA(H17)&gt;0,INDEX(AT_Weapons!$A$1:$A$189,Summary!H17,1),"No Weapon")</f>
        <v>No Weapon</v>
      </c>
      <c r="J17" cm="1">
        <f t="array" ref="J17">INDEX(AT_Chassis!$M$1:$M$37,A17,1)+INDEX(AT_Weapons!$K$1:$K$189,D17,1)+INDEX(AT_Weapons!$K$1:$K$189,F17,1)+IF(H17&gt;0,INDEX(AT_Weapons!$K$1:$K$189,H17,1),0)</f>
        <v>245</v>
      </c>
      <c r="K17" s="21" cm="1">
        <f t="array" ref="K17">INDEX(AT_Weapons!$AS$1:$AS$189,D17,1)+INDEX(AT_Weapons!$AS$1:$AS$189,F17,1)+IF(H17&gt;0,INDEX(AT_Weapons!$AS$1:$AS$189,H17,1),0)</f>
        <v>2.1111111111111107</v>
      </c>
      <c r="L17" s="21" cm="1">
        <f t="array" ref="L17">INDEX(AT_Weapons!$AU$1:$AU$189,D17,1)+INDEX(AT_Weapons!$AU$1:$AU$189,F17,1)+IF(H17&gt;0,INDEX(AT_Weapons!$AU$1:$AU$189,H17,1),0)</f>
        <v>2.0328703703703703</v>
      </c>
      <c r="M17" s="21" cm="1">
        <f t="array" ref="M17">(INDEX(AT_Weapons!$AV$1:$AV$438,D17,1)+INDEX(AT_Weapons!$AV$1:$AV$438,F17,1)+IF(H17&gt;0,INDEX(AT_Weapons!$AV$1:$AV$438,H17,1),0))/COUNTA(D17,F17,H17)</f>
        <v>10.5</v>
      </c>
      <c r="N17" s="21" t="str">
        <f>CONCATENATE(TEXT(L17/K17,"0.0"), " : 1")</f>
        <v>1.0 : 1</v>
      </c>
      <c r="O17" s="21" cm="1">
        <f t="array" ref="O17">INDEX(AT_Chassis!$DV$1:$DV$33,A17)/21*(310/J17)*3</f>
        <v>2.9252768004302752</v>
      </c>
      <c r="Q17" s="21">
        <f>K17*O17</f>
        <v>6.1755843564639132</v>
      </c>
      <c r="R17" s="21">
        <f>Q17*100/J17</f>
        <v>2.5206466761077198</v>
      </c>
      <c r="S17" s="21">
        <f>L17*O17</f>
        <v>5.9467085327265456</v>
      </c>
      <c r="T17" s="21">
        <f>S17/J17*100</f>
        <v>2.4272279725414472</v>
      </c>
      <c r="U17" s="26">
        <f>(Q17+2*S17*(1+(M17-9.277)/2.11)^0.8)/3</f>
        <v>7.7736787386643327</v>
      </c>
      <c r="V17" s="26">
        <f>U17*100/J17</f>
        <v>3.1729300974140133</v>
      </c>
    </row>
    <row r="18" spans="1:22" x14ac:dyDescent="0.3">
      <c r="A18">
        <v>3</v>
      </c>
      <c r="B18" t="str" cm="1">
        <f t="array" ref="B18">INDEX(AT_Chassis!$A$1:$A$37,Summary!$A18,1)</f>
        <v>Dire Wolf</v>
      </c>
      <c r="C18" t="s">
        <v>357</v>
      </c>
      <c r="D18">
        <v>47</v>
      </c>
      <c r="E18" t="str" cm="1">
        <f t="array" ref="E18">IF(COUNTA(D18)&gt;0,INDEX(AT_Weapons!$A$1:$A$189,Summary!D18,1),"No Weapon")</f>
        <v>Ardex Defensor Mega-Bolter</v>
      </c>
      <c r="F18">
        <v>49</v>
      </c>
      <c r="G18" t="str" cm="1">
        <f t="array" ref="G18">IF(COUNTA(F18)&gt;0,INDEX(AT_Weapons!$A$1:$A$189,Summary!F18,1),"No Weapon")</f>
        <v>Neutron Laser</v>
      </c>
      <c r="I18" t="str" cm="1">
        <f t="array" ref="I18">IF(COUNTA(H18)&gt;0,INDEX(AT_Weapons!$A$1:$A$189,Summary!H18,1),"No Weapon")</f>
        <v>No Weapon</v>
      </c>
      <c r="J18" cm="1">
        <f t="array" ref="J18">INDEX(AT_Chassis!$M$1:$M$37,A18,1)+INDEX(AT_Weapons!$K$1:$K$189,D18,1)+INDEX(AT_Weapons!$K$1:$K$189,F18,1)+IF(H18&gt;0,INDEX(AT_Weapons!$K$1:$K$189,H18,1),0)</f>
        <v>265</v>
      </c>
      <c r="K18" s="21" cm="1">
        <f t="array" ref="K18">INDEX(AT_Weapons!$AS$1:$AS$189,D18,1)+INDEX(AT_Weapons!$AS$1:$AS$189,F18,1)+IF(H18&gt;0,INDEX(AT_Weapons!$AS$1:$AS$189,H18,1),0)</f>
        <v>1.5555555555555554</v>
      </c>
      <c r="L18" s="21" cm="1">
        <f t="array" ref="L18">INDEX(AT_Weapons!$AU$1:$AU$189,D18,1)+INDEX(AT_Weapons!$AU$1:$AU$189,F18,1)+IF(H18&gt;0,INDEX(AT_Weapons!$AU$1:$AU$189,H18,1),0)</f>
        <v>1.6057870370370368</v>
      </c>
      <c r="M18" s="21" cm="1">
        <f t="array" ref="M18">(INDEX(AT_Weapons!$AV$1:$AV$438,D18,1)+INDEX(AT_Weapons!$AV$1:$AV$438,F18,1)+IF(H18&gt;0,INDEX(AT_Weapons!$AV$1:$AV$438,H18,1),0))/COUNTA(D18,F18,H18)</f>
        <v>9</v>
      </c>
      <c r="N18" s="21" t="str">
        <f>CONCATENATE(TEXT(L18/K18,"0.0"), " : 1")</f>
        <v>1.0 : 1</v>
      </c>
      <c r="O18" s="21" cm="1">
        <f t="array" ref="O18">INDEX(AT_Chassis!$DV$1:$DV$33,A18)/21*(310/J18)*3</f>
        <v>2.7045011928506311</v>
      </c>
      <c r="Q18" s="21">
        <f>K18*O18</f>
        <v>4.2070018555454256</v>
      </c>
      <c r="R18" s="21">
        <f>Q18*100/J18</f>
        <v>1.5875478700171417</v>
      </c>
      <c r="S18" s="21">
        <f>L18*O18</f>
        <v>4.3428529571307468</v>
      </c>
      <c r="T18" s="21">
        <f>S18/J18*100</f>
        <v>1.6388124366531118</v>
      </c>
      <c r="U18" s="26">
        <f>(Q18+2*S18*(1+(M18-9.277)/2.11)^0.8)/3</f>
        <v>3.9892829918689601</v>
      </c>
      <c r="V18" s="26">
        <f>U18*100/J18</f>
        <v>1.5053898082524377</v>
      </c>
    </row>
    <row r="19" spans="1:22" x14ac:dyDescent="0.3">
      <c r="K19" s="21"/>
      <c r="L19" s="21"/>
      <c r="M19" s="21"/>
      <c r="N19" s="21"/>
      <c r="O19" s="21"/>
      <c r="Q19" s="21"/>
      <c r="R19" s="21"/>
      <c r="S19" s="21"/>
      <c r="T19" s="21"/>
      <c r="U19" s="26"/>
      <c r="V19" s="26"/>
    </row>
    <row r="20" spans="1:22" x14ac:dyDescent="0.3">
      <c r="A20" s="6" t="s">
        <v>2</v>
      </c>
      <c r="K20" s="21"/>
      <c r="L20" s="21"/>
      <c r="M20" s="21"/>
      <c r="N20" s="21"/>
      <c r="O20" s="21"/>
      <c r="Q20" s="21"/>
      <c r="R20" s="21"/>
      <c r="S20" s="21"/>
      <c r="T20" s="21"/>
      <c r="U20" s="26"/>
      <c r="V20" s="26"/>
    </row>
    <row r="21" spans="1:22" x14ac:dyDescent="0.3">
      <c r="A21">
        <v>4</v>
      </c>
      <c r="B21" t="str" cm="1">
        <f t="array" ref="B21">INDEX(AT_Chassis!$A$1:$A$37,Summary!$A21,1)</f>
        <v>Reaver</v>
      </c>
      <c r="C21" t="s">
        <v>359</v>
      </c>
      <c r="D21">
        <v>55</v>
      </c>
      <c r="E21" t="str" cm="1">
        <f t="array" ref="E21">IF(COUNTA(D21)&gt;0,INDEX(AT_Weapons!$A$1:$A$189,Summary!D21,1),"No Weapon")</f>
        <v>Melta Cannon</v>
      </c>
      <c r="F21">
        <v>59</v>
      </c>
      <c r="G21" t="str" cm="1">
        <f t="array" ref="G21">IF(COUNTA(F21)&gt;0,INDEX(AT_Weapons!$A$1:$A$189,Summary!F21,1),"No Weapon")</f>
        <v>Laser Blaster</v>
      </c>
      <c r="H21">
        <v>62</v>
      </c>
      <c r="I21" t="str" cm="1">
        <f t="array" ref="I21">IF(COUNTA(H21)&gt;0,INDEX(AT_Weapons!$A$1:$A$189,Summary!H21,1),"No Weapon")</f>
        <v>Volkite Annihilator</v>
      </c>
      <c r="J21" cm="1">
        <f t="array" ref="J21">INDEX(AT_Chassis!$M$1:$M$37,A21,1)+INDEX(AT_Weapons!$K$1:$K$189,D21,1)+INDEX(AT_Weapons!$K$1:$K$189,F21,1)+IF(H21&gt;0,INDEX(AT_Weapons!$K$1:$K$189,H21,1),0)</f>
        <v>340</v>
      </c>
      <c r="K21" s="21" cm="1">
        <f t="array" ref="K21">INDEX(AT_Weapons!$AS$1:$AS$189,D21,1)+INDEX(AT_Weapons!$AS$1:$AS$189,F21,1)+IF(H21&gt;0,INDEX(AT_Weapons!$AS$1:$AS$189,H21,1),0)</f>
        <v>2.9355555555555553</v>
      </c>
      <c r="L21" s="21" cm="1">
        <f t="array" ref="L21">INDEX(AT_Weapons!$AU$1:$AU$189,D21,1)+INDEX(AT_Weapons!$AU$1:$AU$189,F21,1)+IF(H21&gt;0,INDEX(AT_Weapons!$AU$1:$AU$189,H21,1),0)</f>
        <v>2.7754629629629628</v>
      </c>
      <c r="M21" s="21" cm="1">
        <f t="array" ref="M21">(INDEX(AT_Weapons!$AV$1:$AV$438,D21,1)+INDEX(AT_Weapons!$AV$1:$AV$438,F21,1)+IF(H21&gt;0,INDEX(AT_Weapons!$AV$1:$AV$438,H21,1),0))/COUNTA(D21,F21,H21)</f>
        <v>11.666666666666666</v>
      </c>
      <c r="N21" s="21" t="str">
        <f>CONCATENATE(TEXT(L21/K21,"0.0"), " : 1")</f>
        <v>0.9 : 1</v>
      </c>
      <c r="O21" s="21" cm="1">
        <f t="array" ref="O21">INDEX(AT_Chassis!$DV$1:$DV$33,A21)/21*(310/J21)*3</f>
        <v>2.7369424321125893</v>
      </c>
      <c r="P21" s="28">
        <v>1</v>
      </c>
      <c r="Q21" s="21">
        <f>K21*O21</f>
        <v>8.0344465618238452</v>
      </c>
      <c r="R21" s="21">
        <f>Q21*100/J21</f>
        <v>2.363072518183484</v>
      </c>
      <c r="S21" s="21">
        <f>L21*O21</f>
        <v>7.5962823520902649</v>
      </c>
      <c r="T21" s="21">
        <f>S21/J21*100</f>
        <v>2.234200691791254</v>
      </c>
      <c r="U21" s="26">
        <f>(Q21+2*S21*(1+(M21-9.277)/2.11)^0.8)/3</f>
        <v>11.959862160251754</v>
      </c>
      <c r="V21" s="26">
        <f>U21*100/J21</f>
        <v>3.5176065177211044</v>
      </c>
    </row>
    <row r="22" spans="1:22" x14ac:dyDescent="0.3">
      <c r="A22">
        <v>4</v>
      </c>
      <c r="B22" t="str" cm="1">
        <f t="array" ref="B22">INDEX(AT_Chassis!$A$1:$A$37,Summary!$A22,1)</f>
        <v>Reaver</v>
      </c>
      <c r="C22" t="s">
        <v>360</v>
      </c>
      <c r="D22">
        <v>56</v>
      </c>
      <c r="E22" t="str" cm="1">
        <f t="array" ref="E22">IF(COUNTA(D22)&gt;0,INDEX(AT_Weapons!$A$1:$A$189,Summary!D22,1),"No Weapon")</f>
        <v>Melta Cannon (Directed Pressure Outlet)</v>
      </c>
      <c r="F22">
        <v>60</v>
      </c>
      <c r="G22" t="str" cm="1">
        <f t="array" ref="G22">IF(COUNTA(F22)&gt;0,INDEX(AT_Weapons!$A$1:$A$189,Summary!F22,1),"No Weapon")</f>
        <v>Chasmata Pattern Laser Blaster</v>
      </c>
      <c r="H22">
        <v>66</v>
      </c>
      <c r="I22" t="str" cm="1">
        <f t="array" ref="I22">IF(COUNTA(H22)&gt;0,INDEX(AT_Weapons!$A$1:$A$189,Summary!H22,1),"No Weapon")</f>
        <v>Vortex Missile Support Rack</v>
      </c>
      <c r="J22" cm="1">
        <f t="array" ref="J22">INDEX(AT_Chassis!$M$1:$M$37,A22,1)+INDEX(AT_Weapons!$K$1:$K$189,D22,1)+INDEX(AT_Weapons!$K$1:$K$189,F22,1)+IF(H22&gt;0,INDEX(AT_Weapons!$K$1:$K$189,H22,1),0)</f>
        <v>375</v>
      </c>
      <c r="K22" s="21" cm="1">
        <f t="array" ref="K22">INDEX(AT_Weapons!$AS$1:$AS$189,D22,1)+INDEX(AT_Weapons!$AS$1:$AS$189,F22,1)+IF(H22&gt;0,INDEX(AT_Weapons!$AS$1:$AS$189,H22,1),0)</f>
        <v>1.6388888888888888</v>
      </c>
      <c r="L22" s="21" cm="1">
        <f t="array" ref="L22">INDEX(AT_Weapons!$AU$1:$AU$189,D22,1)+INDEX(AT_Weapons!$AU$1:$AU$189,F22,1)+IF(H22&gt;0,INDEX(AT_Weapons!$AU$1:$AU$189,H22,1),0)</f>
        <v>2.2643518518518517</v>
      </c>
      <c r="M22" s="21" cm="1">
        <f t="array" ref="M22">(INDEX(AT_Weapons!$AV$1:$AV$438,D22,1)+INDEX(AT_Weapons!$AV$1:$AV$438,F22,1)+IF(H22&gt;0,INDEX(AT_Weapons!$AV$1:$AV$438,H22,1),0))/COUNTA(D22,F22,H22)</f>
        <v>11.666666666666666</v>
      </c>
      <c r="N22" s="21" t="str">
        <f>CONCATENATE(TEXT(L22/K22,"0.0"), " : 1")</f>
        <v>1.4 : 1</v>
      </c>
      <c r="O22" s="21" cm="1">
        <f t="array" ref="O22">INDEX(AT_Chassis!$DV$1:$DV$33,A22)/21*(310/J22)*3</f>
        <v>2.481494471782081</v>
      </c>
      <c r="P22" s="28">
        <v>3</v>
      </c>
      <c r="Q22" s="21">
        <f>K22*O22</f>
        <v>4.0668937176428548</v>
      </c>
      <c r="R22" s="21">
        <f>Q22*100/J22</f>
        <v>1.084504991371428</v>
      </c>
      <c r="S22" s="21">
        <f>L22*O22</f>
        <v>5.6189766025398882</v>
      </c>
      <c r="T22" s="21">
        <f>S22/J22*100</f>
        <v>1.4983937606773035</v>
      </c>
      <c r="U22" s="26">
        <f>(Q22+2*S22*(1+(M22-9.277)/2.11)^0.8)/3</f>
        <v>8.2213225711446452</v>
      </c>
      <c r="V22" s="26">
        <f>U22*100/J22</f>
        <v>2.1923526856385722</v>
      </c>
    </row>
    <row r="23" spans="1:22" x14ac:dyDescent="0.3">
      <c r="A23">
        <v>4</v>
      </c>
      <c r="B23" t="str" cm="1">
        <f t="array" ref="B23">INDEX(AT_Chassis!$A$1:$A$37,Summary!$A23,1)</f>
        <v>Reaver</v>
      </c>
      <c r="C23" t="s">
        <v>357</v>
      </c>
      <c r="D23">
        <v>56</v>
      </c>
      <c r="E23" t="str" cm="1">
        <f t="array" ref="E23">IF(COUNTA(D23)&gt;0,INDEX(AT_Weapons!$A$1:$A$189,Summary!D23,1),"No Weapon")</f>
        <v>Melta Cannon (Directed Pressure Outlet)</v>
      </c>
      <c r="F23">
        <v>54</v>
      </c>
      <c r="G23" t="str" cm="1">
        <f t="array" ref="G23">IF(COUNTA(F23)&gt;0,INDEX(AT_Weapons!$A$1:$A$189,Summary!F23,1),"No Weapon")</f>
        <v>Reaver Chainfist</v>
      </c>
      <c r="H23">
        <v>62</v>
      </c>
      <c r="I23" t="str" cm="1">
        <f t="array" ref="I23">IF(COUNTA(H23)&gt;0,INDEX(AT_Weapons!$A$1:$A$189,Summary!H23,1),"No Weapon")</f>
        <v>Volkite Annihilator</v>
      </c>
      <c r="J23" cm="1">
        <f t="array" ref="J23">INDEX(AT_Chassis!$M$1:$M$37,A23,1)+INDEX(AT_Weapons!$K$1:$K$189,D23,1)+INDEX(AT_Weapons!$K$1:$K$189,F23,1)+IF(H23&gt;0,INDEX(AT_Weapons!$K$1:$K$189,H23,1),0)</f>
        <v>355</v>
      </c>
      <c r="K23" s="21" cm="1">
        <f t="array" ref="K23">INDEX(AT_Weapons!$AS$1:$AS$189,D23,1)+INDEX(AT_Weapons!$AS$1:$AS$189,F23,1)+IF(H23&gt;0,INDEX(AT_Weapons!$AS$1:$AS$189,H23,1),0)</f>
        <v>2.1855555555555553</v>
      </c>
      <c r="L23" s="21" cm="1">
        <f t="array" ref="L23">INDEX(AT_Weapons!$AU$1:$AU$189,D23,1)+INDEX(AT_Weapons!$AU$1:$AU$189,F23,1)+IF(H23&gt;0,INDEX(AT_Weapons!$AU$1:$AU$189,H23,1),0)</f>
        <v>2.3935185185185182</v>
      </c>
      <c r="M23" s="21" cm="1">
        <f t="array" ref="M23">(INDEX(AT_Weapons!$AV$1:$AV$438,D23,1)+INDEX(AT_Weapons!$AV$1:$AV$438,F23,1)+IF(H23&gt;0,INDEX(AT_Weapons!$AV$1:$AV$438,H23,1),0))/COUNTA(D23,F23,H23)</f>
        <v>11.666666666666666</v>
      </c>
      <c r="N23" s="21" t="str">
        <f>CONCATENATE(TEXT(L23/K23,"0.0"), " : 1")</f>
        <v>1.1 : 1</v>
      </c>
      <c r="O23" s="21" cm="1">
        <f t="array" ref="O23">INDEX(AT_Chassis!$DV$1:$DV$33,A23)/21*(310/J23)*3</f>
        <v>2.6212969772345924</v>
      </c>
      <c r="Q23" s="21">
        <f>K23*O23</f>
        <v>5.7289901713560472</v>
      </c>
      <c r="R23" s="21">
        <f>Q23*100/J23</f>
        <v>1.6138000482693091</v>
      </c>
      <c r="S23" s="21">
        <f>L23*O23</f>
        <v>6.2741228575476118</v>
      </c>
      <c r="T23" s="21">
        <f>S23/J23*100</f>
        <v>1.7673585514218624</v>
      </c>
      <c r="U23" s="26">
        <f>(Q23+2*S23*(1+(M23-9.277)/2.11)^0.8)/3</f>
        <v>9.5758620535785877</v>
      </c>
      <c r="V23" s="26">
        <f>U23*100/J23</f>
        <v>2.6974259305855175</v>
      </c>
    </row>
    <row r="24" spans="1:22" x14ac:dyDescent="0.3">
      <c r="A24">
        <v>4</v>
      </c>
      <c r="B24" t="str" cm="1">
        <f t="array" ref="B24">INDEX(AT_Chassis!$A$1:$A$37,Summary!$A24,1)</f>
        <v>Reaver</v>
      </c>
      <c r="C24" t="s">
        <v>360</v>
      </c>
      <c r="D24">
        <v>58</v>
      </c>
      <c r="E24" t="str" cm="1">
        <f t="array" ref="E24">IF(COUNTA(D24)&gt;0,INDEX(AT_Weapons!$A$1:$A$189,Summary!D24,1),"No Weapon")</f>
        <v>Power Fist</v>
      </c>
      <c r="F24">
        <v>58</v>
      </c>
      <c r="G24" t="str" cm="1">
        <f t="array" ref="G24">IF(COUNTA(F24)&gt;0,INDEX(AT_Weapons!$A$1:$A$189,Summary!F24,1),"No Weapon")</f>
        <v>Power Fist</v>
      </c>
      <c r="H24">
        <v>66</v>
      </c>
      <c r="I24" t="str" cm="1">
        <f t="array" ref="I24">IF(COUNTA(H24)&gt;0,INDEX(AT_Weapons!$A$1:$A$189,Summary!H24,1),"No Weapon")</f>
        <v>Vortex Missile Support Rack</v>
      </c>
      <c r="J24" cm="1">
        <f t="array" ref="J24">INDEX(AT_Chassis!$M$1:$M$37,A24,1)+INDEX(AT_Weapons!$K$1:$K$189,D24,1)+INDEX(AT_Weapons!$K$1:$K$189,F24,1)+IF(H24&gt;0,INDEX(AT_Weapons!$K$1:$K$189,H24,1),0)</f>
        <v>320</v>
      </c>
      <c r="K24" s="21" cm="1">
        <f t="array" ref="K24">INDEX(AT_Weapons!$AS$1:$AS$189,D24,1)+INDEX(AT_Weapons!$AS$1:$AS$189,F24,1)+IF(H24&gt;0,INDEX(AT_Weapons!$AS$1:$AS$189,H24,1),0)</f>
        <v>0.33333333333333331</v>
      </c>
      <c r="L24" s="21" cm="1">
        <f t="array" ref="L24">INDEX(AT_Weapons!$AU$1:$AU$189,D24,1)+INDEX(AT_Weapons!$AU$1:$AU$189,F24,1)+IF(H24&gt;0,INDEX(AT_Weapons!$AU$1:$AU$189,H24,1),0)</f>
        <v>1.2361111111111112</v>
      </c>
      <c r="M24" s="21" cm="1">
        <f t="array" ref="M24">(INDEX(AT_Weapons!$AV$1:$AV$438,D24,1)+INDEX(AT_Weapons!$AV$1:$AV$438,F24,1)+IF(H24&gt;0,INDEX(AT_Weapons!$AV$1:$AV$438,H24,1),0))/COUNTA(D24,F24,H24)</f>
        <v>11.333333333333334</v>
      </c>
      <c r="N24" s="21" t="str">
        <f>CONCATENATE(TEXT(L24/K24,"0.0"), " : 1")</f>
        <v>3.7 : 1</v>
      </c>
      <c r="O24" s="21" cm="1">
        <f t="array" ref="O24">INDEX(AT_Chassis!$DV$1:$DV$33,A24)/21*(310/J24)*3</f>
        <v>2.9080013341196262</v>
      </c>
      <c r="P24" s="28">
        <v>1</v>
      </c>
      <c r="Q24" s="21">
        <f>K24*O24</f>
        <v>0.96933377803987542</v>
      </c>
      <c r="R24" s="21">
        <f>Q24*100/J24</f>
        <v>0.30291680563746104</v>
      </c>
      <c r="S24" s="21">
        <f>L24*O24</f>
        <v>3.5946127602312048</v>
      </c>
      <c r="T24" s="21">
        <f>S24/J24*100</f>
        <v>1.1233164875722517</v>
      </c>
      <c r="U24" s="26">
        <f>(Q24+2*S24*(1+(M24-9.277)/2.11)^0.8)/3</f>
        <v>4.452997595230042</v>
      </c>
      <c r="V24" s="26">
        <f>U24*100/J24</f>
        <v>1.3915617485093881</v>
      </c>
    </row>
    <row r="25" spans="1:22" x14ac:dyDescent="0.3">
      <c r="A25">
        <v>4</v>
      </c>
      <c r="B25" t="str" cm="1">
        <f t="array" ref="B25">INDEX(AT_Chassis!$A$1:$A$37,Summary!$A25,1)</f>
        <v>Reaver</v>
      </c>
      <c r="C25" t="s">
        <v>360</v>
      </c>
      <c r="D25">
        <v>54</v>
      </c>
      <c r="E25" t="str" cm="1">
        <f t="array" ref="E25">IF(COUNTA(D25)&gt;0,INDEX(AT_Weapons!$A$1:$A$189,Summary!D25,1),"No Weapon")</f>
        <v>Reaver Chainfist</v>
      </c>
      <c r="F25">
        <v>54</v>
      </c>
      <c r="G25" t="str" cm="1">
        <f t="array" ref="G25">IF(COUNTA(F25)&gt;0,INDEX(AT_Weapons!$A$1:$A$189,Summary!F25,1),"No Weapon")</f>
        <v>Reaver Chainfist</v>
      </c>
      <c r="H25">
        <v>72</v>
      </c>
      <c r="I25" t="str" cm="1">
        <f t="array" ref="I25">IF(COUNTA(H25)&gt;0,INDEX(AT_Weapons!$A$1:$A$189,Summary!H25,1),"No Weapon")</f>
        <v>Vulcan Mega-Bolter (Maximal)</v>
      </c>
      <c r="J25" cm="1">
        <f t="array" ref="J25">INDEX(AT_Chassis!$M$1:$M$37,A25,1)+INDEX(AT_Weapons!$K$1:$K$189,D25,1)+INDEX(AT_Weapons!$K$1:$K$189,F25,1)+IF(H25&gt;0,INDEX(AT_Weapons!$K$1:$K$189,H25,1),0)</f>
        <v>325</v>
      </c>
      <c r="K25" s="21" cm="1">
        <f t="array" ref="K25">INDEX(AT_Weapons!$AS$1:$AS$189,D25,1)+INDEX(AT_Weapons!$AS$1:$AS$189,F25,1)+IF(H25&gt;0,INDEX(AT_Weapons!$AS$1:$AS$189,H25,1),0)</f>
        <v>1.1666666666666665</v>
      </c>
      <c r="L25" s="21" cm="1">
        <f t="array" ref="L25">INDEX(AT_Weapons!$AU$1:$AU$189,D25,1)+INDEX(AT_Weapons!$AU$1:$AU$189,F25,1)+IF(H25&gt;0,INDEX(AT_Weapons!$AU$1:$AU$189,H25,1),0)</f>
        <v>3.3185185185185189</v>
      </c>
      <c r="M25" s="21" cm="1">
        <f t="array" ref="M25">(INDEX(AT_Weapons!$AV$1:$AV$438,D25,1)+INDEX(AT_Weapons!$AV$1:$AV$438,F25,1)+IF(H25&gt;0,INDEX(AT_Weapons!$AV$1:$AV$438,H25,1),0))/COUNTA(D25,F25,H25)</f>
        <v>9.6666666666666661</v>
      </c>
      <c r="N25" s="21" t="str">
        <f>CONCATENATE(TEXT(L25/K25,"0.0"), " : 1")</f>
        <v>2.8 : 1</v>
      </c>
      <c r="O25" s="21" cm="1">
        <f t="array" ref="O25">INDEX(AT_Chassis!$DV$1:$DV$33,A25)/21*(310/J25)*3</f>
        <v>2.8632628520562475</v>
      </c>
      <c r="P25" s="28">
        <v>1</v>
      </c>
      <c r="Q25" s="21">
        <f>K25*O25</f>
        <v>3.3404733273989549</v>
      </c>
      <c r="R25" s="21">
        <f>Q25*100/J25</f>
        <v>1.027837946891986</v>
      </c>
      <c r="S25" s="21">
        <f>L25*O25</f>
        <v>9.5017907979348077</v>
      </c>
      <c r="T25" s="21">
        <f>S25/J25*100</f>
        <v>2.9236279378260948</v>
      </c>
      <c r="U25" s="26">
        <f>(Q25+2*S25*(1+(M25-9.277)/2.11)^0.8)/3</f>
        <v>8.3677645222539354</v>
      </c>
      <c r="V25" s="26">
        <f>U25*100/J25</f>
        <v>2.5746967760781341</v>
      </c>
    </row>
    <row r="27" spans="1:22" x14ac:dyDescent="0.3">
      <c r="A27" s="6" t="s">
        <v>143</v>
      </c>
    </row>
    <row r="28" spans="1:22" x14ac:dyDescent="0.3">
      <c r="A28">
        <v>5</v>
      </c>
      <c r="B28" t="str" cm="1">
        <f t="array" ref="B28">INDEX(AT_Chassis!$A$1:$A$37,Summary!$A28,1)</f>
        <v>Nemesis Warbringer</v>
      </c>
      <c r="C28" t="s">
        <v>360</v>
      </c>
      <c r="D28">
        <v>82</v>
      </c>
      <c r="E28" t="str" cm="1">
        <f t="array" ref="E28">IF(COUNTA(D28)&gt;0,INDEX(AT_Weapons!$A$1:$A$189,Summary!D28,1),"No Weapon")</f>
        <v>Mori Quake Cannon</v>
      </c>
      <c r="F28">
        <v>58</v>
      </c>
      <c r="G28" t="str" cm="1">
        <f t="array" ref="G28">IF(COUNTA(F28)&gt;0,INDEX(AT_Weapons!$A$1:$A$189,Summary!F28,1),"No Weapon")</f>
        <v>Power Fist</v>
      </c>
      <c r="H28">
        <v>58</v>
      </c>
      <c r="I28" t="str" cm="1">
        <f t="array" ref="I28">IF(COUNTA(H28)&gt;0,INDEX(AT_Weapons!$A$1:$A$189,Summary!H28,1),"No Weapon")</f>
        <v>Power Fist</v>
      </c>
      <c r="J28" cm="1">
        <f t="array" ref="J28">INDEX(AT_Chassis!$M$1:$M$37,A28,1)+INDEX(AT_Weapons!$K$1:$K$189,D28,1)+INDEX(AT_Weapons!$K$1:$K$189,F28,1)+IF(H28&gt;0,INDEX(AT_Weapons!$K$1:$K$189,H28,1),0)</f>
        <v>385</v>
      </c>
      <c r="K28" s="21" cm="1">
        <f t="array" ref="K28">INDEX(AT_Weapons!$AS$1:$AS$189,D28,1)+INDEX(AT_Weapons!$AS$1:$AS$189,F28,1)+IF(H28&gt;0,INDEX(AT_Weapons!$AS$1:$AS$189,H28,1),0)</f>
        <v>0.37037037037037041</v>
      </c>
      <c r="L28" s="21" cm="1">
        <f t="array" ref="L28">INDEX(AT_Weapons!$AU$1:$AU$189,D28,1)+INDEX(AT_Weapons!$AU$1:$AU$189,F28,1)+IF(H28&gt;0,INDEX(AT_Weapons!$AU$1:$AU$189,H28,1),0)</f>
        <v>2.0972222222222223</v>
      </c>
      <c r="M28" s="21" cm="1">
        <f t="array" ref="M28">(INDEX(AT_Weapons!$AV$1:$AV$438,D28,1)+INDEX(AT_Weapons!$AV$1:$AV$438,F28,1)+IF(H28&gt;0,INDEX(AT_Weapons!$AV$1:$AV$438,H28,1),0))/COUNTA(D28,F28,H28)</f>
        <v>11</v>
      </c>
      <c r="N28" s="21" t="str">
        <f>CONCATENATE(TEXT(L28/K28,"0.0"), " : 1")</f>
        <v>5.7 : 1</v>
      </c>
      <c r="O28" s="21" cm="1">
        <f t="array" ref="O28">INDEX(AT_Chassis!$DV$1:$DV$33,A28)/21*(310/J28)*3</f>
        <v>3.9615807823495457</v>
      </c>
      <c r="P28" s="28">
        <v>1</v>
      </c>
      <c r="Q28" s="21">
        <f>K28*O28</f>
        <v>1.467252141610943</v>
      </c>
      <c r="R28" s="21">
        <f>Q28*100/J28</f>
        <v>0.38110445236647872</v>
      </c>
      <c r="S28" s="21">
        <f>L28*O28</f>
        <v>8.3083152518719636</v>
      </c>
      <c r="T28" s="21">
        <f>S28/J28*100</f>
        <v>2.1580039615251856</v>
      </c>
      <c r="U28" s="26">
        <f>(Q28+2*S28*(1+(M28-9.277))^0.35)/3</f>
        <v>8.3538967133678597</v>
      </c>
      <c r="V28" s="26">
        <f>U28*100/J28</f>
        <v>2.16984330217347</v>
      </c>
    </row>
    <row r="29" spans="1:22" x14ac:dyDescent="0.3">
      <c r="A29">
        <v>5</v>
      </c>
      <c r="B29" t="str" cm="1">
        <f t="array" ref="B29">INDEX(AT_Chassis!$A$1:$A$37,Summary!$A29,1)</f>
        <v>Nemesis Warbringer</v>
      </c>
      <c r="C29" t="s">
        <v>360</v>
      </c>
      <c r="D29">
        <v>80</v>
      </c>
      <c r="E29" t="str" cm="1">
        <f t="array" ref="E29">IF(COUNTA(D29)&gt;0,INDEX(AT_Weapons!$A$1:$A$189,Summary!D29,1),"No Weapon")</f>
        <v>Belicosa Volcano Cannon</v>
      </c>
      <c r="F29">
        <v>56</v>
      </c>
      <c r="G29" t="str" cm="1">
        <f t="array" ref="G29">IF(COUNTA(F29)&gt;0,INDEX(AT_Weapons!$A$1:$A$189,Summary!F29,1),"No Weapon")</f>
        <v>Melta Cannon (Directed Pressure Outlet)</v>
      </c>
      <c r="H29">
        <v>56</v>
      </c>
      <c r="I29" t="str" cm="1">
        <f t="array" ref="I29">IF(COUNTA(H29)&gt;0,INDEX(AT_Weapons!$A$1:$A$189,Summary!H29,1),"No Weapon")</f>
        <v>Melta Cannon (Directed Pressure Outlet)</v>
      </c>
      <c r="J29" cm="1">
        <f t="array" ref="J29">INDEX(AT_Chassis!$M$1:$M$37,A29,1)+INDEX(AT_Weapons!$K$1:$K$189,D29,1)+INDEX(AT_Weapons!$K$1:$K$189,F29,1)+IF(H29&gt;0,INDEX(AT_Weapons!$K$1:$K$189,H29,1),0)</f>
        <v>490</v>
      </c>
      <c r="K29" s="21" cm="1">
        <f t="array" ref="K29">INDEX(AT_Weapons!$AS$1:$AS$189,D29,1)+INDEX(AT_Weapons!$AS$1:$AS$189,F29,1)+IF(H29&gt;0,INDEX(AT_Weapons!$AS$1:$AS$189,H29,1),0)</f>
        <v>1.4814814814814816</v>
      </c>
      <c r="L29" s="21" cm="1">
        <f t="array" ref="L29">INDEX(AT_Weapons!$AU$1:$AU$189,D29,1)+INDEX(AT_Weapons!$AU$1:$AU$189,F29,1)+IF(H29&gt;0,INDEX(AT_Weapons!$AU$1:$AU$189,H29,1),0)</f>
        <v>2.6444444444444444</v>
      </c>
      <c r="M29" s="21" cm="1">
        <f t="array" ref="M29">(INDEX(AT_Weapons!$AV$1:$AV$438,D29,1)+INDEX(AT_Weapons!$AV$1:$AV$438,F29,1)+IF(H29&gt;0,INDEX(AT_Weapons!$AV$1:$AV$438,H29,1),0))/COUNTA(D29,F29,H29)</f>
        <v>13.333333333333334</v>
      </c>
      <c r="N29" s="21" t="str">
        <f>CONCATENATE(TEXT(L29/K29,"0.0"), " : 1")</f>
        <v>1.8 : 1</v>
      </c>
      <c r="O29" s="21" cm="1">
        <f t="array" ref="O29">INDEX(AT_Chassis!$DV$1:$DV$33,A29)/21*(310/J29)*3</f>
        <v>3.1126706147032142</v>
      </c>
      <c r="P29" s="28">
        <v>1</v>
      </c>
      <c r="Q29" s="21">
        <f>K29*O29</f>
        <v>4.6113638736343914</v>
      </c>
      <c r="R29" s="21">
        <f>Q29*100/J29</f>
        <v>0.94109466808865139</v>
      </c>
      <c r="S29" s="21">
        <f>L29*O29</f>
        <v>8.2312845144373892</v>
      </c>
      <c r="T29" s="21">
        <f>S29/J29*100</f>
        <v>1.6798539825382426</v>
      </c>
      <c r="U29" s="26">
        <f>(Q29+2*S29*(1+(M29-9.277))^0.35)/3</f>
        <v>11.213633482270545</v>
      </c>
      <c r="V29" s="26">
        <f>U29*100/J29</f>
        <v>2.288496629034805</v>
      </c>
    </row>
    <row r="31" spans="1:22" x14ac:dyDescent="0.3">
      <c r="A31" s="6" t="s">
        <v>4</v>
      </c>
    </row>
    <row r="32" spans="1:22" x14ac:dyDescent="0.3">
      <c r="A32">
        <v>6</v>
      </c>
      <c r="B32" t="str" cm="1">
        <f t="array" ref="B32">INDEX(AT_Chassis!$A$1:$A$37,Summary!$A32,1)</f>
        <v>Warlord</v>
      </c>
      <c r="C32" t="s">
        <v>360</v>
      </c>
      <c r="D32">
        <v>88</v>
      </c>
      <c r="E32" t="str" cm="1">
        <f t="array" ref="E32">IF(COUNTA(D32)&gt;0,INDEX(AT_Weapons!$A$1:$A$189,Summary!D32,1),"No Weapon")</f>
        <v>Belicosa Volcano Cannon</v>
      </c>
      <c r="F32">
        <v>92</v>
      </c>
      <c r="G32" t="str" cm="1">
        <f t="array" ref="G32">IF(COUNTA(F32)&gt;0,INDEX(AT_Weapons!$A$1:$A$189,Summary!F32,1),"No Weapon")</f>
        <v>Mori Quake Cannon</v>
      </c>
      <c r="H32">
        <v>109</v>
      </c>
      <c r="I32" t="str" cm="1">
        <f t="array" ref="I32">IF(COUNTA(H32)&gt;0,INDEX(AT_Weapons!$A$1:$A$189,Summary!H32,1),"No Weapon")</f>
        <v>AML w/ Gyros</v>
      </c>
      <c r="J32" cm="1">
        <f t="array" ref="J32">INDEX(AT_Chassis!$M$1:$M$37,A32,1)+INDEX(AT_Weapons!$K$1:$K$189,D32,1)+INDEX(AT_Weapons!$K$1:$K$189,F32,1)+IF(H32&gt;0,INDEX(AT_Weapons!$K$1:$K$189,H32,1),0)</f>
        <v>500</v>
      </c>
      <c r="K32" s="21" cm="1">
        <f t="array" ref="K32">INDEX(AT_Weapons!$AS$1:$AS$189,D32,1)+INDEX(AT_Weapons!$AS$1:$AS$189,F32,1)+IF(H32&gt;0,INDEX(AT_Weapons!$AS$1:$AS$189,H32,1),0)</f>
        <v>2.5925925925925926</v>
      </c>
      <c r="L32" s="21" cm="1">
        <f t="array" ref="L32">INDEX(AT_Weapons!$AU$1:$AU$189,D32,1)+INDEX(AT_Weapons!$AU$1:$AU$189,F32,1)+IF(H32&gt;0,INDEX(AT_Weapons!$AU$1:$AU$189,H32,1),0)</f>
        <v>4.4675925925925934</v>
      </c>
      <c r="M32" s="21" cm="1">
        <f t="array" ref="M32">(INDEX(AT_Weapons!$AV$1:$AV$438,D32,1)+INDEX(AT_Weapons!$AV$1:$AV$438,F32,1)+IF(H32&gt;0,INDEX(AT_Weapons!$AV$1:$AV$438,H32,1),0))/COUNTA(D32,F32,H32)</f>
        <v>11.333333333333334</v>
      </c>
      <c r="N32" s="21" t="str">
        <f>CONCATENATE(TEXT(L32/K32,"0.0"), " : 1")</f>
        <v>1.7 : 1</v>
      </c>
      <c r="O32" s="21" cm="1">
        <f t="array" ref="O32">INDEX(AT_Chassis!$DV$1:$DV$33,A32)/21*(310/J32)*3</f>
        <v>4.6760361259615175</v>
      </c>
      <c r="P32" s="28">
        <v>1</v>
      </c>
      <c r="Q32" s="21">
        <f>K32*O32</f>
        <v>12.123056622863194</v>
      </c>
      <c r="R32" s="21">
        <f>Q32*100/J32</f>
        <v>2.4246113245726386</v>
      </c>
      <c r="S32" s="21">
        <f>L32*O32</f>
        <v>20.890624359041041</v>
      </c>
      <c r="T32" s="21">
        <f>S32/J32*100</f>
        <v>4.1781248718082082</v>
      </c>
      <c r="U32" s="26">
        <f>(Q32+2*S32*(1+(M32-9.277)/2.11)^0.8)/3</f>
        <v>28.042464883433819</v>
      </c>
      <c r="V32" s="26">
        <f>U32*100/J32</f>
        <v>5.6084929766867635</v>
      </c>
    </row>
    <row r="33" spans="1:22" x14ac:dyDescent="0.3">
      <c r="A33">
        <v>6</v>
      </c>
      <c r="B33" t="str" cm="1">
        <f t="array" ref="B33">INDEX(AT_Chassis!$A$1:$A$37,Summary!$A33,1)</f>
        <v>Warlord</v>
      </c>
      <c r="C33" t="s">
        <v>357</v>
      </c>
      <c r="D33">
        <v>89</v>
      </c>
      <c r="E33" t="str" cm="1">
        <f t="array" ref="E33">IF(COUNTA(D33)&gt;0,INDEX(AT_Weapons!$A$1:$A$189,Summary!D33,1),"No Weapon")</f>
        <v>Macro-gatling Blaster</v>
      </c>
      <c r="F33">
        <v>89</v>
      </c>
      <c r="G33" t="str" cm="1">
        <f t="array" ref="G33">IF(COUNTA(F33)&gt;0,INDEX(AT_Weapons!$A$1:$A$189,Summary!F33,1),"No Weapon")</f>
        <v>Macro-gatling Blaster</v>
      </c>
      <c r="H33">
        <v>100</v>
      </c>
      <c r="I33" t="str" cm="1">
        <f t="array" ref="I33">IF(COUNTA(H33)&gt;0,INDEX(AT_Weapons!$A$1:$A$189,Summary!H33,1),"No Weapon")</f>
        <v>Paired GBs w/ Gyros</v>
      </c>
      <c r="J33" cm="1">
        <f t="array" ref="J33">INDEX(AT_Chassis!$M$1:$M$37,A33,1)+INDEX(AT_Weapons!$K$1:$K$189,D33,1)+INDEX(AT_Weapons!$K$1:$K$189,F33,1)+IF(H33&gt;0,INDEX(AT_Weapons!$K$1:$K$189,H33,1),0)</f>
        <v>500</v>
      </c>
      <c r="K33" s="21" cm="1">
        <f t="array" ref="K33">INDEX(AT_Weapons!$AS$1:$AS$189,D33,1)+INDEX(AT_Weapons!$AS$1:$AS$189,F33,1)+IF(H33&gt;0,INDEX(AT_Weapons!$AS$1:$AS$189,H33,1),0)</f>
        <v>4.4444444444444446</v>
      </c>
      <c r="L33" s="21" cm="1">
        <f t="array" ref="L33">INDEX(AT_Weapons!$AU$1:$AU$189,D33,1)+INDEX(AT_Weapons!$AU$1:$AU$189,F33,1)+IF(H33&gt;0,INDEX(AT_Weapons!$AU$1:$AU$189,H33,1),0)</f>
        <v>6.8833333333333337</v>
      </c>
      <c r="M33" s="21" cm="1">
        <f t="array" ref="M33">(INDEX(AT_Weapons!$AV$1:$AV$438,D33,1)+INDEX(AT_Weapons!$AV$1:$AV$438,F33,1)+IF(H33&gt;0,INDEX(AT_Weapons!$AV$1:$AV$438,H33,1),0))/COUNTA(D33,F33,H33)</f>
        <v>9</v>
      </c>
      <c r="N33" s="21" t="str">
        <f>CONCATENATE(TEXT(L33/K33,"0.0"), " : 1")</f>
        <v>1.5 : 1</v>
      </c>
      <c r="O33" s="21" cm="1">
        <f t="array" ref="O33">INDEX(AT_Chassis!$DV$1:$DV$33,A33)/21*(310/J33)*3</f>
        <v>4.6760361259615175</v>
      </c>
      <c r="Q33" s="21">
        <f>K33*O33</f>
        <v>20.78238278205119</v>
      </c>
      <c r="R33" s="21">
        <f>Q33*100/J33</f>
        <v>4.1564765564102384</v>
      </c>
      <c r="S33" s="21">
        <f>L33*O33</f>
        <v>32.186715333701784</v>
      </c>
      <c r="T33" s="21">
        <f>S33/J33*100</f>
        <v>6.4373430667403575</v>
      </c>
      <c r="U33" s="26">
        <f>(Q33+2*S33*(1+(M33-9.277)/2.11)^0.8)/3</f>
        <v>26.100431588771215</v>
      </c>
      <c r="V33" s="26">
        <f>U33*100/J33</f>
        <v>5.2200863177542436</v>
      </c>
    </row>
    <row r="34" spans="1:22" x14ac:dyDescent="0.3">
      <c r="A34">
        <v>6</v>
      </c>
      <c r="B34" t="str" cm="1">
        <f t="array" ref="B34">INDEX(AT_Chassis!$A$1:$A$37,Summary!$A34,1)</f>
        <v>Warlord</v>
      </c>
      <c r="C34" t="s">
        <v>357</v>
      </c>
      <c r="D34">
        <v>91</v>
      </c>
      <c r="E34" t="str" cm="1">
        <f t="array" ref="E34">IF(COUNTA(D34)&gt;0,INDEX(AT_Weapons!$A$1:$A$189,Summary!D34,1),"No Weapon")</f>
        <v>Sunfury Plasma Annihilator (Maximal)</v>
      </c>
      <c r="F34">
        <v>91</v>
      </c>
      <c r="G34" t="str" cm="1">
        <f t="array" ref="G34">IF(COUNTA(F34)&gt;0,INDEX(AT_Weapons!$A$1:$A$189,Summary!F34,1),"No Weapon")</f>
        <v>Sunfury Plasma Annihilator (Maximal)</v>
      </c>
      <c r="H34">
        <v>96</v>
      </c>
      <c r="I34" t="str" cm="1">
        <f t="array" ref="I34">IF(COUNTA(H34)&gt;0,INDEX(AT_Weapons!$A$1:$A$189,Summary!H34,1),"No Weapon")</f>
        <v>Paired TLD w/ Gyros</v>
      </c>
      <c r="J34" cm="1">
        <f t="array" ref="J34">INDEX(AT_Chassis!$M$1:$M$37,A34,1)+INDEX(AT_Weapons!$K$1:$K$189,D34,1)+INDEX(AT_Weapons!$K$1:$K$189,F34,1)+IF(H34&gt;0,INDEX(AT_Weapons!$K$1:$K$189,H34,1),0)</f>
        <v>535</v>
      </c>
      <c r="K34" s="21" cm="1">
        <f t="array" ref="K34">INDEX(AT_Weapons!$AS$1:$AS$189,D34,1)+INDEX(AT_Weapons!$AS$1:$AS$189,F34,1)+IF(H34&gt;0,INDEX(AT_Weapons!$AS$1:$AS$189,H34,1),0)</f>
        <v>2.6666666666666665</v>
      </c>
      <c r="L34" s="21" cm="1">
        <f t="array" ref="L34">INDEX(AT_Weapons!$AU$1:$AU$189,D34,1)+INDEX(AT_Weapons!$AU$1:$AU$189,F34,1)+IF(H34&gt;0,INDEX(AT_Weapons!$AU$1:$AU$189,H34,1),0)</f>
        <v>4.1481481481481479</v>
      </c>
      <c r="M34" s="21" cm="1">
        <f t="array" ref="M34">(INDEX(AT_Weapons!$AV$1:$AV$438,D34,1)+INDEX(AT_Weapons!$AV$1:$AV$438,F34,1)+IF(H34&gt;0,INDEX(AT_Weapons!$AV$1:$AV$438,H34,1),0))/COUNTA(D34,F34,H34)</f>
        <v>11.333333333333334</v>
      </c>
      <c r="N34" s="21" t="str">
        <f>CONCATENATE(TEXT(L34/K34,"0.0"), " : 1")</f>
        <v>1.6 : 1</v>
      </c>
      <c r="O34" s="21" cm="1">
        <f t="array" ref="O34">INDEX(AT_Chassis!$DV$1:$DV$33,A34)/21*(310/J34)*3</f>
        <v>4.3701272205247825</v>
      </c>
      <c r="Q34" s="21">
        <f>K34*O34</f>
        <v>11.653672588066087</v>
      </c>
      <c r="R34" s="21">
        <f>Q34*100/J34</f>
        <v>2.1782565585170257</v>
      </c>
      <c r="S34" s="21">
        <f>L34*O34</f>
        <v>18.127935136991688</v>
      </c>
      <c r="T34" s="21">
        <f>S34/J34*100</f>
        <v>3.3883990910264838</v>
      </c>
      <c r="U34" s="26">
        <f>(Q34+2*S34*(1+(M34-9.277)/2.11)^0.8)/3</f>
        <v>24.711922426159287</v>
      </c>
      <c r="V34" s="26">
        <f>U34*100/J34</f>
        <v>4.6190509207774362</v>
      </c>
    </row>
    <row r="35" spans="1:22" x14ac:dyDescent="0.3">
      <c r="A35">
        <v>6</v>
      </c>
      <c r="B35" t="str" cm="1">
        <f t="array" ref="B35">INDEX(AT_Chassis!$A$1:$A$37,Summary!$A35,1)</f>
        <v>Warlord</v>
      </c>
      <c r="C35" t="s">
        <v>357</v>
      </c>
      <c r="D35">
        <v>88</v>
      </c>
      <c r="E35" t="str" cm="1">
        <f t="array" ref="E35">IF(COUNTA(D35)&gt;0,INDEX(AT_Weapons!$A$1:$A$189,Summary!D35,1),"No Weapon")</f>
        <v>Belicosa Volcano Cannon</v>
      </c>
      <c r="F35">
        <v>88</v>
      </c>
      <c r="G35" t="str" cm="1">
        <f t="array" ref="G35">IF(COUNTA(F35)&gt;0,INDEX(AT_Weapons!$A$1:$A$189,Summary!F35,1),"No Weapon")</f>
        <v>Belicosa Volcano Cannon</v>
      </c>
      <c r="H35">
        <v>102</v>
      </c>
      <c r="I35" t="str" cm="1">
        <f t="array" ref="I35">IF(COUNTA(H35)&gt;0,INDEX(AT_Weapons!$A$1:$A$189,Summary!H35,1),"No Weapon")</f>
        <v>Paired LBs w/ Gyros</v>
      </c>
      <c r="J35" cm="1">
        <f t="array" ref="J35">INDEX(AT_Chassis!$M$1:$M$37,A35,1)+INDEX(AT_Weapons!$K$1:$K$189,D35,1)+INDEX(AT_Weapons!$K$1:$K$189,F35,1)+IF(H35&gt;0,INDEX(AT_Weapons!$K$1:$K$189,H35,1),0)</f>
        <v>570</v>
      </c>
      <c r="K35" s="21" cm="1">
        <f t="array" ref="K35">INDEX(AT_Weapons!$AS$1:$AS$189,D35,1)+INDEX(AT_Weapons!$AS$1:$AS$189,F35,1)+IF(H35&gt;0,INDEX(AT_Weapons!$AS$1:$AS$189,H35,1),0)</f>
        <v>1.7407407407407409</v>
      </c>
      <c r="L35" s="21" cm="1">
        <f t="array" ref="L35">INDEX(AT_Weapons!$AU$1:$AU$189,D35,1)+INDEX(AT_Weapons!$AU$1:$AU$189,F35,1)+IF(H35&gt;0,INDEX(AT_Weapons!$AU$1:$AU$189,H35,1),0)</f>
        <v>4.5925925925925934</v>
      </c>
      <c r="M35" s="21" cm="1">
        <f t="array" ref="M35">(INDEX(AT_Weapons!$AV$1:$AV$438,D35,1)+INDEX(AT_Weapons!$AV$1:$AV$438,F35,1)+IF(H35&gt;0,INDEX(AT_Weapons!$AV$1:$AV$438,H35,1),0))/COUNTA(D35,F35,H35)</f>
        <v>12.666666666666666</v>
      </c>
      <c r="N35" s="21" t="str">
        <f>CONCATENATE(TEXT(L35/K35,"0.0"), " : 1")</f>
        <v>2.6 : 1</v>
      </c>
      <c r="O35" s="21" cm="1">
        <f t="array" ref="O35">INDEX(AT_Chassis!$DV$1:$DV$33,A35)/21*(310/J35)*3</f>
        <v>4.1017860754048403</v>
      </c>
      <c r="Q35" s="21">
        <f>K35*O35</f>
        <v>7.1401461312602788</v>
      </c>
      <c r="R35" s="21">
        <f>Q35*100/J35</f>
        <v>1.2526572160105751</v>
      </c>
      <c r="S35" s="21">
        <f>L35*O35</f>
        <v>18.837832346303713</v>
      </c>
      <c r="T35" s="21">
        <f>S35/J35*100</f>
        <v>3.3048828677725814</v>
      </c>
      <c r="U35" s="26">
        <f>(Q35+2*S35*(1+(M35-9.277)/2.11)^0.8)/3</f>
        <v>29.40611255559951</v>
      </c>
      <c r="V35" s="26">
        <f>U35*100/J35</f>
        <v>5.1589671150174583</v>
      </c>
    </row>
    <row r="36" spans="1:22" x14ac:dyDescent="0.3">
      <c r="A36">
        <v>6</v>
      </c>
      <c r="B36" t="str" cm="1">
        <f t="array" ref="B36">INDEX(AT_Chassis!$A$1:$A$37,Summary!$A36,1)</f>
        <v>Warlord</v>
      </c>
      <c r="C36" t="s">
        <v>357</v>
      </c>
      <c r="D36">
        <v>93</v>
      </c>
      <c r="E36" t="str" cm="1">
        <f t="array" ref="E36">IF(COUNTA(D36)&gt;0,INDEX(AT_Weapons!$A$1:$A$189,Summary!D36,1),"No Weapon")</f>
        <v>Arioch Titan Power Claw</v>
      </c>
      <c r="F36">
        <v>93</v>
      </c>
      <c r="G36" t="str" cm="1">
        <f t="array" ref="G36">IF(COUNTA(F36)&gt;0,INDEX(AT_Weapons!$A$1:$A$189,Summary!F36,1),"No Weapon")</f>
        <v>Arioch Titan Power Claw</v>
      </c>
      <c r="H36">
        <v>102</v>
      </c>
      <c r="I36" t="str" cm="1">
        <f t="array" ref="I36">IF(COUNTA(H36)&gt;0,INDEX(AT_Weapons!$A$1:$A$189,Summary!H36,1),"No Weapon")</f>
        <v>Paired LBs w/ Gyros</v>
      </c>
      <c r="J36" cm="1">
        <f t="array" ref="J36">INDEX(AT_Chassis!$M$1:$M$37,A36,1)+INDEX(AT_Weapons!$K$1:$K$189,D36,1)+INDEX(AT_Weapons!$K$1:$K$189,F36,1)+IF(H36&gt;0,INDEX(AT_Weapons!$K$1:$K$189,H36,1),0)</f>
        <v>510</v>
      </c>
      <c r="K36" s="21" cm="1">
        <f t="array" ref="K36">INDEX(AT_Weapons!$AS$1:$AS$189,D36,1)+INDEX(AT_Weapons!$AS$1:$AS$189,F36,1)+IF(H36&gt;0,INDEX(AT_Weapons!$AS$1:$AS$189,H36,1),0)</f>
        <v>1</v>
      </c>
      <c r="L36" s="21" cm="1">
        <f t="array" ref="L36">INDEX(AT_Weapons!$AU$1:$AU$189,D36,1)+INDEX(AT_Weapons!$AU$1:$AU$189,F36,1)+IF(H36&gt;0,INDEX(AT_Weapons!$AU$1:$AU$189,H36,1),0)</f>
        <v>4.0277777777777786</v>
      </c>
      <c r="M36" s="21" cm="1">
        <f t="array" ref="M36">(INDEX(AT_Weapons!$AV$1:$AV$438,D36,1)+INDEX(AT_Weapons!$AV$1:$AV$438,F36,1)+IF(H36&gt;0,INDEX(AT_Weapons!$AV$1:$AV$438,H36,1),0))/COUNTA(D36,F36,H36)</f>
        <v>12.666666666666666</v>
      </c>
      <c r="N36" s="21" t="str">
        <f>CONCATENATE(TEXT(L36/K36,"0.0"), " : 1")</f>
        <v>4.0 : 1</v>
      </c>
      <c r="O36" s="21" cm="1">
        <f t="array" ref="O36">INDEX(AT_Chassis!$DV$1:$DV$33,A36)/21*(310/J36)*3</f>
        <v>4.5843491430995265</v>
      </c>
      <c r="Q36" s="21">
        <f>K36*O36</f>
        <v>4.5843491430995265</v>
      </c>
      <c r="R36" s="21">
        <f>Q36*100/J36</f>
        <v>0.89889198884304444</v>
      </c>
      <c r="S36" s="21">
        <f>L36*O36</f>
        <v>18.464739604150875</v>
      </c>
      <c r="T36" s="21">
        <f>S36/J36*100</f>
        <v>3.620537177284485</v>
      </c>
      <c r="U36" s="26">
        <f>(Q36+2*S36*(1+(M36-9.277)/2.11)^0.8)/3</f>
        <v>28.018915441802609</v>
      </c>
      <c r="V36" s="26">
        <f>U36*100/J36</f>
        <v>5.4939049885887474</v>
      </c>
    </row>
    <row r="38" spans="1:22" x14ac:dyDescent="0.3">
      <c r="A38" s="6" t="s">
        <v>5</v>
      </c>
    </row>
    <row r="39" spans="1:22" x14ac:dyDescent="0.3">
      <c r="A39">
        <v>7</v>
      </c>
      <c r="B39" t="str" cm="1">
        <f t="array" ref="B39">INDEX(AT_Chassis!$A$1:$A$37,Summary!$A39,1)</f>
        <v>Warlord Sinister</v>
      </c>
      <c r="C39" t="s">
        <v>357</v>
      </c>
      <c r="D39">
        <v>121</v>
      </c>
      <c r="E39" t="str" cm="1">
        <f t="array" ref="E39">IF(COUNTA(D39)&gt;0,INDEX(AT_Weapons!$A$1:$A$189,Summary!D39,1),"No Weapon")</f>
        <v>Sinistramanus Tenebrae</v>
      </c>
      <c r="F39">
        <v>122</v>
      </c>
      <c r="G39" t="str" cm="1">
        <f t="array" ref="G39">IF(COUNTA(F39)&gt;0,INDEX(AT_Weapons!$A$1:$A$189,Summary!F39,1),"No Weapon")</f>
        <v>Arioch Titan Power Claw</v>
      </c>
      <c r="H39">
        <v>100</v>
      </c>
      <c r="I39" t="str" cm="1">
        <f t="array" ref="I39">IF(COUNTA(H39)&gt;0,INDEX(AT_Weapons!$A$1:$A$189,Summary!H39,1),"No Weapon")</f>
        <v>Paired GBs w/ Gyros</v>
      </c>
      <c r="J39" cm="1">
        <f t="array" ref="J39">INDEX(AT_Chassis!$M$1:$M$37,A39,1)+INDEX(AT_Weapons!$K$1:$K$189,D39,1)+INDEX(AT_Weapons!$K$1:$K$189,F39,1)+IF(H39&gt;0,INDEX(AT_Weapons!$K$1:$K$189,H39,1),0)</f>
        <v>740</v>
      </c>
      <c r="K39" s="21" cm="1">
        <f t="array" ref="K39">INDEX(AT_Weapons!$AS$1:$AS$189,D39,1)+INDEX(AT_Weapons!$AS$1:$AS$189,F39,1)+IF(H39&gt;0,INDEX(AT_Weapons!$AS$1:$AS$189,H39,1),0)</f>
        <v>2.7777777777777777</v>
      </c>
      <c r="L39" s="21" cm="1">
        <f t="array" ref="L39">INDEX(AT_Weapons!$AU$1:$AU$189,D39,1)+INDEX(AT_Weapons!$AU$1:$AU$189,F39,1)+IF(H39&gt;0,INDEX(AT_Weapons!$AU$1:$AU$189,H39,1),0)</f>
        <v>4.0777777777777775</v>
      </c>
      <c r="M39" s="21" cm="1">
        <f t="array" ref="M39">(INDEX(AT_Weapons!$AV$1:$AV$438,D39,1)+INDEX(AT_Weapons!$AV$1:$AV$438,F39,1)+IF(H39&gt;0,INDEX(AT_Weapons!$AV$1:$AV$438,H39,1),0))/COUNTA(D39,F39,H39)</f>
        <v>11.666666666666666</v>
      </c>
      <c r="N39" s="21" t="str">
        <f>CONCATENATE(TEXT(L39/K39,"0.0"), " : 1")</f>
        <v>1.5 : 1</v>
      </c>
      <c r="O39" s="21" cm="1">
        <f t="array" ref="O39">INDEX(AT_Chassis!$DV$1:$DV$33,A39)/21*(310/J39)*3</f>
        <v>3.159483868892917</v>
      </c>
      <c r="Q39" s="21">
        <f>K39*O39</f>
        <v>8.7763440802581023</v>
      </c>
      <c r="R39" s="21">
        <f>Q39*100/J39</f>
        <v>1.1859924432781219</v>
      </c>
      <c r="S39" s="21">
        <f>L39*O39</f>
        <v>12.883673109818893</v>
      </c>
      <c r="T39" s="21">
        <f>S39/J39*100</f>
        <v>1.7410369067322831</v>
      </c>
      <c r="U39" s="26">
        <f>(Q39+2*S39*(1+(M39-9.277)/2.11)^0.8)/3</f>
        <v>18.66769595736773</v>
      </c>
      <c r="V39" s="26">
        <f>U39*100/J39</f>
        <v>2.5226616158605042</v>
      </c>
    </row>
    <row r="40" spans="1:22" x14ac:dyDescent="0.3">
      <c r="A40">
        <v>7</v>
      </c>
      <c r="B40" t="str" cm="1">
        <f t="array" ref="B40">INDEX(AT_Chassis!$A$1:$A$37,Summary!$A40,1)</f>
        <v>Warlord Sinister</v>
      </c>
      <c r="C40" t="s">
        <v>357</v>
      </c>
      <c r="D40">
        <v>121</v>
      </c>
      <c r="E40" t="str" cm="1">
        <f t="array" ref="E40">IF(COUNTA(D40)&gt;0,INDEX(AT_Weapons!$A$1:$A$189,Summary!D40,1),"No Weapon")</f>
        <v>Sinistramanus Tenebrae</v>
      </c>
      <c r="F40">
        <v>91</v>
      </c>
      <c r="G40" t="str" cm="1">
        <f t="array" ref="G40">IF(COUNTA(F40)&gt;0,INDEX(AT_Weapons!$A$1:$A$189,Summary!F40,1),"No Weapon")</f>
        <v>Sunfury Plasma Annihilator (Maximal)</v>
      </c>
      <c r="H40">
        <v>100</v>
      </c>
      <c r="I40" t="str" cm="1">
        <f t="array" ref="I40">IF(COUNTA(H40)&gt;0,INDEX(AT_Weapons!$A$1:$A$189,Summary!H40,1),"No Weapon")</f>
        <v>Paired GBs w/ Gyros</v>
      </c>
      <c r="J40" cm="1">
        <f t="array" ref="J40">INDEX(AT_Chassis!$M$1:$M$37,A40,1)+INDEX(AT_Weapons!$K$1:$K$189,D40,1)+INDEX(AT_Weapons!$K$1:$K$189,F40,1)+IF(H40&gt;0,INDEX(AT_Weapons!$K$1:$K$189,H40,1),0)</f>
        <v>785</v>
      </c>
      <c r="K40" s="21" cm="1">
        <f t="array" ref="K40">INDEX(AT_Weapons!$AS$1:$AS$189,D40,1)+INDEX(AT_Weapons!$AS$1:$AS$189,F40,1)+IF(H40&gt;0,INDEX(AT_Weapons!$AS$1:$AS$189,H40,1),0)</f>
        <v>3.6666666666666665</v>
      </c>
      <c r="L40" s="21" cm="1">
        <f t="array" ref="L40">INDEX(AT_Weapons!$AU$1:$AU$189,D40,1)+INDEX(AT_Weapons!$AU$1:$AU$189,F40,1)+IF(H40&gt;0,INDEX(AT_Weapons!$AU$1:$AU$189,H40,1),0)</f>
        <v>4.3509259259259263</v>
      </c>
      <c r="M40" s="21" cm="1">
        <f t="array" ref="M40">(INDEX(AT_Weapons!$AV$1:$AV$438,D40,1)+INDEX(AT_Weapons!$AV$1:$AV$438,F40,1)+IF(H40&gt;0,INDEX(AT_Weapons!$AV$1:$AV$438,H40,1),0))/COUNTA(D40,F40,H40)</f>
        <v>11</v>
      </c>
      <c r="N40" s="21" t="str">
        <f>CONCATENATE(TEXT(L40/K40,"0.0"), " : 1")</f>
        <v>1.2 : 1</v>
      </c>
      <c r="O40" s="21" cm="1">
        <f t="array" ref="O40">INDEX(AT_Chassis!$DV$1:$DV$33,A40)/21*(310/J40)*3</f>
        <v>2.9783669592111579</v>
      </c>
      <c r="Q40" s="21">
        <f>K40*O40</f>
        <v>10.920678850440911</v>
      </c>
      <c r="R40" s="21">
        <f>Q40*100/J40</f>
        <v>1.3911692803109441</v>
      </c>
      <c r="S40" s="21">
        <f>L40*O40</f>
        <v>12.958654019752993</v>
      </c>
      <c r="T40" s="21">
        <f>S40/J40*100</f>
        <v>1.6507839515608909</v>
      </c>
      <c r="U40" s="26">
        <f>(Q40+2*S40*(1+(M40-9.277)/2.11)^0.8)/3</f>
        <v>17.567744237954198</v>
      </c>
      <c r="V40" s="26">
        <f>U40*100/J40</f>
        <v>2.2379292022871589</v>
      </c>
    </row>
    <row r="42" spans="1:22" x14ac:dyDescent="0.3">
      <c r="A42" s="6" t="s">
        <v>6</v>
      </c>
    </row>
    <row r="43" spans="1:22" x14ac:dyDescent="0.3">
      <c r="A43">
        <v>8</v>
      </c>
      <c r="B43" t="str" cm="1">
        <f t="array" ref="B43">INDEX(AT_Chassis!$A$1:$A$37,Summary!$A43,1)</f>
        <v>Warmaster</v>
      </c>
      <c r="C43" t="s">
        <v>357</v>
      </c>
      <c r="D43">
        <v>127</v>
      </c>
      <c r="E43" t="str" cm="1">
        <f t="array" ref="E43">IF(COUNTA(D43)&gt;0,INDEX(AT_Weapons!$A$1:$A$189,Summary!D43,1),"No Weapon")</f>
        <v>Suzerain Class Plasma Destructor</v>
      </c>
      <c r="F43">
        <v>127</v>
      </c>
      <c r="G43" t="str" cm="1">
        <f t="array" ref="G43">IF(COUNTA(F43)&gt;0,INDEX(AT_Weapons!$A$1:$A$189,Summary!F43,1),"No Weapon")</f>
        <v>Suzerain Class Plasma Destructor</v>
      </c>
      <c r="H43">
        <v>135</v>
      </c>
      <c r="I43" t="str" cm="1">
        <f t="array" ref="I43">IF(COUNTA(H43)&gt;0,INDEX(AT_Weapons!$A$1:$A$189,Summary!H43,1),"No Weapon")</f>
        <v>Combined Shoulder/Carapace Weapons</v>
      </c>
      <c r="J43" cm="1">
        <f t="array" ref="J43">INDEX(AT_Chassis!$M$1:$M$37,A43,1)+INDEX(AT_Weapons!$K$1:$K$189,D43,1)+INDEX(AT_Weapons!$K$1:$K$189,F43,1)+IF(H43&gt;0,INDEX(AT_Weapons!$K$1:$K$189,H43,1),0)</f>
        <v>1100</v>
      </c>
      <c r="K43" s="21" cm="1">
        <f t="array" ref="K43">INDEX(AT_Weapons!$AS$1:$AS$189,D43,1)+INDEX(AT_Weapons!$AS$1:$AS$189,F43,1)+IF(H43&gt;0,INDEX(AT_Weapons!$AS$1:$AS$189,H43,1),0)</f>
        <v>2.4444444444444442</v>
      </c>
      <c r="L43" s="21" cm="1">
        <f t="array" ref="L43">INDEX(AT_Weapons!$AU$1:$AU$189,D43,1)+INDEX(AT_Weapons!$AU$1:$AU$189,F43,1)+IF(H43&gt;0,INDEX(AT_Weapons!$AU$1:$AU$189,H43,1),0)</f>
        <v>6.2907407407407412</v>
      </c>
      <c r="M43" s="21" cm="1">
        <f t="array" ref="M43">(INDEX(AT_Weapons!$AV$1:$AV$438,D43,1)+INDEX(AT_Weapons!$AV$1:$AV$438,F43,1)+IF(H43&gt;0,INDEX(AT_Weapons!$AV$1:$AV$438,H43,1),0))/COUNTA(D43,F43,H43)</f>
        <v>12.666666666666666</v>
      </c>
      <c r="N43" s="21" t="str">
        <f>CONCATENATE(TEXT(L43/K43,"0.0"), " : 1")</f>
        <v>2.6 : 1</v>
      </c>
      <c r="O43" s="21" cm="1">
        <f t="array" ref="O43">INDEX(AT_Chassis!$DV$1:$DV$33,A43)/21*(310/J43)*3</f>
        <v>2.9777980212452366</v>
      </c>
      <c r="Q43" s="21">
        <f>K43*O43</f>
        <v>7.279061829710578</v>
      </c>
      <c r="R43" s="21">
        <f>Q43*100/J43</f>
        <v>0.6617328936100525</v>
      </c>
      <c r="S43" s="21">
        <f>L43*O43</f>
        <v>18.732555329944574</v>
      </c>
      <c r="T43" s="21">
        <f>S43/J43*100</f>
        <v>1.7029595754495068</v>
      </c>
      <c r="U43" s="26">
        <f>(Q43+2*S43*(1+(M43-9.277)/2.11)^0.8)/3</f>
        <v>29.301380062140385</v>
      </c>
      <c r="V43" s="26">
        <f>U43*100/J43</f>
        <v>2.663761823830944</v>
      </c>
    </row>
    <row r="44" spans="1:22" x14ac:dyDescent="0.3">
      <c r="A44">
        <v>9</v>
      </c>
      <c r="B44" t="str" cm="1">
        <f t="array" ref="B44">INDEX(AT_Chassis!$A$1:$A$37,Summary!$A44,1)</f>
        <v>Warmaster Iconoclast</v>
      </c>
      <c r="C44" t="s">
        <v>359</v>
      </c>
      <c r="D44">
        <v>138</v>
      </c>
      <c r="E44" t="str" cm="1">
        <f t="array" ref="E44">IF(COUNTA(D44)&gt;0,INDEX(AT_Weapons!$A$1:$A$189,Summary!D44,1),"No Weapon")</f>
        <v>Desolator Chainsword</v>
      </c>
      <c r="F44">
        <v>140</v>
      </c>
      <c r="G44" t="str" cm="1">
        <f t="array" ref="G44">IF(COUNTA(F44)&gt;0,INDEX(AT_Weapons!$A$1:$A$189,Summary!F44,1),"No Weapon")</f>
        <v>Krius Grav Imploder</v>
      </c>
      <c r="H44">
        <v>135</v>
      </c>
      <c r="I44" t="str" cm="1">
        <f t="array" ref="I44">IF(COUNTA(H44)&gt;0,INDEX(AT_Weapons!$A$1:$A$189,Summary!H44,1),"No Weapon")</f>
        <v>Combined Shoulder/Carapace Weapons</v>
      </c>
      <c r="J44" cm="1">
        <f t="array" ref="J44">INDEX(AT_Chassis!$M$1:$M$37,A44,1)+INDEX(AT_Weapons!$K$1:$K$189,D44,1)+INDEX(AT_Weapons!$K$1:$K$189,F44,1)+IF(H44&gt;0,INDEX(AT_Weapons!$K$1:$K$189,H44,1),0)</f>
        <v>1070</v>
      </c>
      <c r="K44" s="21" cm="1">
        <f t="array" ref="K44">INDEX(AT_Weapons!$AS$1:$AS$189,D44,1)+INDEX(AT_Weapons!$AS$1:$AS$189,F44,1)+IF(H44&gt;0,INDEX(AT_Weapons!$AS$1:$AS$189,H44,1),0)</f>
        <v>1.5555555555555554</v>
      </c>
      <c r="L44" s="21" cm="1">
        <f t="array" ref="L44">INDEX(AT_Weapons!$AU$1:$AU$189,D44,1)+INDEX(AT_Weapons!$AU$1:$AU$189,F44,1)+IF(H44&gt;0,INDEX(AT_Weapons!$AU$1:$AU$189,H44,1),0)</f>
        <v>4.7962962962962958</v>
      </c>
      <c r="M44" s="21" cm="1">
        <f t="array" ref="M44">(INDEX(AT_Weapons!$AV$1:$AV$438,D44,1)+INDEX(AT_Weapons!$AV$1:$AV$438,F44,1)+IF(H44&gt;0,INDEX(AT_Weapons!$AV$1:$AV$438,H44,1),0))/COUNTA(D44,F44,H44)</f>
        <v>12.666666666666666</v>
      </c>
      <c r="N44" s="21" t="str">
        <f>CONCATENATE(TEXT(L44/K44,"0.0"), " : 1")</f>
        <v>3.1 : 1</v>
      </c>
      <c r="O44" s="21" cm="1">
        <f t="array" ref="O44">INDEX(AT_Chassis!$DV$1:$DV$33,A44)/21*(310/J44)*3</f>
        <v>3.0612876853922995</v>
      </c>
      <c r="P44" s="28">
        <v>1</v>
      </c>
      <c r="Q44" s="21">
        <f>K44*O44</f>
        <v>4.7620030661657982</v>
      </c>
      <c r="R44" s="21">
        <f>Q44*100/J44</f>
        <v>0.44504701552951387</v>
      </c>
      <c r="S44" s="21">
        <f>L44*O44</f>
        <v>14.682842787344546</v>
      </c>
      <c r="T44" s="21">
        <f>S44/J44*100</f>
        <v>1.3722282978826679</v>
      </c>
      <c r="U44" s="26">
        <f>(Q44+2*S44*(1+(M44-9.277)/2.11)^0.8)/3</f>
        <v>22.652361334321672</v>
      </c>
      <c r="V44" s="26">
        <f>U44*100/J44</f>
        <v>2.1170431153571658</v>
      </c>
    </row>
    <row r="47" spans="1:22" x14ac:dyDescent="0.3">
      <c r="A47" s="6" t="s">
        <v>551</v>
      </c>
    </row>
    <row r="48" spans="1:22" x14ac:dyDescent="0.3">
      <c r="A48">
        <v>10</v>
      </c>
      <c r="B48" t="str" cm="1">
        <f t="array" ref="B48">INDEX(AT_Chassis!$A$1:$A$37,Summary!$A48,1)</f>
        <v>Imperator</v>
      </c>
      <c r="C48" t="s">
        <v>360</v>
      </c>
      <c r="D48">
        <v>145</v>
      </c>
      <c r="E48" t="str" cm="1">
        <f t="array" ref="E48">IF(COUNTA(D48)&gt;0,INDEX(AT_Weapons!$A$1:$A$189,Summary!D48,1),"No Weapon")</f>
        <v>Starshatter Plasma Annihilator</v>
      </c>
      <c r="F48">
        <v>146</v>
      </c>
      <c r="G48" t="str" cm="1">
        <f t="array" ref="G48">IF(COUNTA(F48)&gt;0,INDEX(AT_Weapons!$A$1:$A$189,Summary!F48,1),"No Weapon")</f>
        <v>Hellstorm Gatling Blaster</v>
      </c>
      <c r="H48">
        <v>152</v>
      </c>
      <c r="I48" t="str" cm="1">
        <f t="array" ref="I48">IF(COUNTA(H48)&gt;0,INDEX(AT_Weapons!$A$1:$A$189,Summary!H48,1),"No Weapon")</f>
        <v>Combined Carapace/Leg Arrays</v>
      </c>
      <c r="J48" cm="1">
        <f t="array" ref="J48">INDEX(AT_Chassis!$M$1:$M$37,A48,1)+INDEX(AT_Weapons!$K$1:$K$189,D48,1)+INDEX(AT_Weapons!$K$1:$K$189,F48,1)+IF(H48&gt;0,INDEX(AT_Weapons!$K$1:$K$189,H48,1),0)</f>
        <v>1420</v>
      </c>
      <c r="K48" s="21" cm="1">
        <f t="array" ref="K48">INDEX(AT_Weapons!$AS$1:$AS$189,D48,1)+INDEX(AT_Weapons!$AS$1:$AS$189,F48,1)+IF(H48&gt;0,INDEX(AT_Weapons!$AS$1:$AS$189,H48,1),0)</f>
        <v>4.0740740740740744</v>
      </c>
      <c r="L48" s="21" cm="1">
        <f t="array" ref="L48">INDEX(AT_Weapons!$AU$1:$AU$189,D48,1)+INDEX(AT_Weapons!$AU$1:$AU$189,F48,1)+IF(H48&gt;0,INDEX(AT_Weapons!$AU$1:$AU$189,H48,1),0)</f>
        <v>10.972222222222223</v>
      </c>
      <c r="M48" s="21" cm="1">
        <f t="array" ref="M48">(INDEX(AT_Weapons!$AV$1:$AV$438,D48,1)+INDEX(AT_Weapons!$AV$1:$AV$438,F48,1)+IF(H48&gt;0,INDEX(AT_Weapons!$AV$1:$AV$438,H48,1),0))/COUNTA(D48,F48,H48)</f>
        <v>11.666666666666666</v>
      </c>
      <c r="N48" s="21" t="str">
        <f>CONCATENATE(TEXT(L48/K48,"0.0"), " : 1")</f>
        <v>2.7 : 1</v>
      </c>
      <c r="O48" s="21" cm="1">
        <f t="array" ref="O48">INDEX(AT_Chassis!$DV$1:$DV$33,A48)/21*(310/J48)*3</f>
        <v>2.5998182367535385</v>
      </c>
      <c r="P48" s="28">
        <v>1</v>
      </c>
      <c r="Q48" s="21">
        <f>K48*O48</f>
        <v>10.591852075662565</v>
      </c>
      <c r="R48" s="21">
        <f>Q48*100/J48</f>
        <v>0.74590507575088494</v>
      </c>
      <c r="S48" s="21">
        <f>L48*O48</f>
        <v>28.525783431045774</v>
      </c>
      <c r="T48" s="21">
        <f>S48/J48*100</f>
        <v>2.0088579881018149</v>
      </c>
      <c r="U48" s="26">
        <f>(Q48+2*S48*(1+(M48-9.277)/2.11)^0.8)/3</f>
        <v>38.385580796295841</v>
      </c>
      <c r="V48" s="26">
        <f>U48*100/J48</f>
        <v>2.7032099152321014</v>
      </c>
    </row>
    <row r="51" spans="1:22" x14ac:dyDescent="0.3">
      <c r="A51" s="6" t="s">
        <v>659</v>
      </c>
    </row>
    <row r="52" spans="1:22" x14ac:dyDescent="0.3">
      <c r="A52">
        <v>15</v>
      </c>
      <c r="B52" t="str" cm="1">
        <f t="array" ref="B52">INDEX(AT_Chassis!$A$1:$A$37,Summary!$A52,1)</f>
        <v>Acastus</v>
      </c>
      <c r="C52" t="s">
        <v>360</v>
      </c>
      <c r="D52">
        <v>183</v>
      </c>
      <c r="E52" t="str" cm="1">
        <f t="array" ref="E52">IF(COUNTA(D52)&gt;0,INDEX(AT_Weapons!$A$1:$A$228,Summary!D52,1),"No Weapon")</f>
        <v>Twin Magma Lascannon</v>
      </c>
      <c r="F52">
        <v>184</v>
      </c>
      <c r="G52" t="str" cm="1">
        <f t="array" ref="G52">IF(COUNTA(F52)&gt;0,INDEX(AT_Weapons!$A$1:$A$228,Summary!F52,1),"No Weapon")</f>
        <v>Ironstorm Missile Pod</v>
      </c>
      <c r="H52">
        <v>185</v>
      </c>
      <c r="I52" t="str" cm="1">
        <f t="array" ref="I52">IF(COUNTA(H52)&gt;0,INDEX(AT_Weapons!$A$1:$A$228,Summary!H52,1),"No Weapon")</f>
        <v>Twin Lascannon</v>
      </c>
      <c r="J52" cm="1">
        <f t="array" ref="J52">INDEX(AT_Chassis!$M$1:$M$37,A52,1)+INDEX(AT_Weapons!$K$1:$K$228,D52,1)+INDEX(AT_Weapons!$K$1:$K$228,F52,1)+IF(H52&gt;0,INDEX(AT_Weapons!$K$1:$K$228,H52,1),0)</f>
        <v>195</v>
      </c>
      <c r="K52" s="21" cm="1">
        <f t="array" ref="K52">INDEX(AT_Weapons!$AS$1:$AS$228,D52,1)+INDEX(AT_Weapons!$AS$1:$AS$228,F52,1)+IF(H52&gt;0,INDEX(AT_Weapons!$AS$1:$AS$228,H52,1),0)</f>
        <v>2.496296296296296</v>
      </c>
      <c r="L52" s="21" cm="1">
        <f t="array" ref="L52">INDEX(AT_Weapons!$AU$1:$AU$228,D52,1)+INDEX(AT_Weapons!$AU$1:$AU$228,F52,1)+IF(H52&gt;0,INDEX(AT_Weapons!$AU$1:$AU$228,H52,1),0)</f>
        <v>4.4481481481481486</v>
      </c>
      <c r="M52" s="21" cm="1">
        <f t="array" ref="M52">(INDEX(AT_Weapons!$AV$1:$AV$438,D52,1)+INDEX(AT_Weapons!$AV$1:$AV$438,F52,1)+IF(H52&gt;0,INDEX(AT_Weapons!$AV$1:$AV$438,H52,1),0))/COUNTA(D52,F52,H52)</f>
        <v>10</v>
      </c>
      <c r="N52" s="21" t="str">
        <f>CONCATENATE(TEXT(L52/K52,"0.0"), " : 1")</f>
        <v>1.8 : 1</v>
      </c>
      <c r="O52" s="21" cm="1">
        <f t="array" ref="O52">INDEX(AT_Chassis!$DV$1:$DV$33,A52)/21*(310/J52)*3</f>
        <v>2.4899205221327447</v>
      </c>
      <c r="P52" s="28">
        <v>1</v>
      </c>
      <c r="Q52" s="21">
        <f>K52*O52</f>
        <v>6.2155793774721104</v>
      </c>
      <c r="R52" s="21">
        <f>Q52*100/J52</f>
        <v>3.1874766038318518</v>
      </c>
      <c r="S52" s="21">
        <f>L52*O52</f>
        <v>11.07553535956084</v>
      </c>
      <c r="T52" s="21">
        <f>S52/J52*100</f>
        <v>5.6797617228517128</v>
      </c>
      <c r="U52" s="26">
        <f>(Q52+2*S52*(1+(M52-9.277)/2.11)^0.8)/3</f>
        <v>11.418268413482963</v>
      </c>
      <c r="V52" s="26">
        <f>U52*100/J52</f>
        <v>5.8555222633245965</v>
      </c>
    </row>
    <row r="53" spans="1:22" x14ac:dyDescent="0.3">
      <c r="A53">
        <v>15</v>
      </c>
      <c r="B53" t="str" cm="1">
        <f t="array" ref="B53">INDEX(AT_Chassis!$A$1:$A$37,Summary!$A53,1)</f>
        <v>Acastus</v>
      </c>
      <c r="C53" t="s">
        <v>360</v>
      </c>
      <c r="D53">
        <v>186</v>
      </c>
      <c r="E53" t="str" cm="1">
        <f t="array" ref="E53">IF(COUNTA(D53)&gt;0,INDEX(AT_Weapons!$A$1:$A$228,Summary!D53,1),"No Weapon")</f>
        <v>Twin Conversion Beam Cannon</v>
      </c>
      <c r="F53">
        <v>187</v>
      </c>
      <c r="G53" t="str" cm="1">
        <f t="array" ref="G53">IF(COUNTA(F53)&gt;0,INDEX(AT_Weapons!$A$1:$A$228,Summary!F53,1),"No Weapon")</f>
        <v>Karacnos Mortar Battery</v>
      </c>
      <c r="H53">
        <v>188</v>
      </c>
      <c r="I53" t="str" cm="1">
        <f t="array" ref="I53">IF(COUNTA(H53)&gt;0,INDEX(AT_Weapons!$A$1:$A$228,Summary!H53,1),"No Weapon")</f>
        <v>Twin Volkite Culverins</v>
      </c>
      <c r="J53" cm="1">
        <f t="array" ref="J53">INDEX(AT_Chassis!$M$1:$M$37,A53,1)+INDEX(AT_Weapons!$K$1:$K$228,D53,1)+INDEX(AT_Weapons!$K$1:$K$228,F53,1)+IF(H53&gt;0,INDEX(AT_Weapons!$K$1:$K$228,H53,1),0)</f>
        <v>210</v>
      </c>
      <c r="K53" s="21" cm="1">
        <f t="array" ref="K53">INDEX(AT_Weapons!$AS$1:$AS$228,D53,1)+INDEX(AT_Weapons!$AS$1:$AS$228,F53,1)+IF(H53&gt;0,INDEX(AT_Weapons!$AS$1:$AS$228,H53,1),0)</f>
        <v>2.3781481481481483</v>
      </c>
      <c r="L53" s="21" cm="1">
        <f t="array" ref="L53">INDEX(AT_Weapons!$AU$1:$AU$228,D53,1)+INDEX(AT_Weapons!$AU$1:$AU$228,F53,1)+IF(H53&gt;0,INDEX(AT_Weapons!$AU$1:$AU$228,H53,1),0)</f>
        <v>5.8814814814814822</v>
      </c>
      <c r="M53" s="21" cm="1">
        <f t="array" ref="M53">(INDEX(AT_Weapons!$AV$1:$AV$438,D53,1)+INDEX(AT_Weapons!$AV$1:$AV$438,F53,1)+IF(H53&gt;0,INDEX(AT_Weapons!$AV$1:$AV$438,H53,1),0))/COUNTA(D53,F53,H53)</f>
        <v>10.333333333333334</v>
      </c>
      <c r="N53" s="21" t="str">
        <f>CONCATENATE(TEXT(L53/K53,"0.0"), " : 1")</f>
        <v>2.5 : 1</v>
      </c>
      <c r="O53" s="21" cm="1">
        <f t="array" ref="O53">INDEX(AT_Chassis!$DV$1:$DV$33,A53)/21*(310/J53)*3</f>
        <v>2.3120690562661204</v>
      </c>
      <c r="P53" s="28">
        <v>1</v>
      </c>
      <c r="Q53" s="21">
        <f>K53*O53</f>
        <v>5.4984427445499113</v>
      </c>
      <c r="R53" s="21">
        <f>Q53*100/J53</f>
        <v>2.6183060688332911</v>
      </c>
      <c r="S53" s="21">
        <f>L53*O53</f>
        <v>13.598391338335555</v>
      </c>
      <c r="T53" s="21">
        <f>S53/J53*100</f>
        <v>6.4754244468264543</v>
      </c>
      <c r="U53" s="26">
        <f>(Q53+2*S53*(1+(M53-9.277)/2.11)^0.8)/3</f>
        <v>14.376224256089108</v>
      </c>
      <c r="V53" s="26">
        <f>U53*100/J53</f>
        <v>6.8458210743281471</v>
      </c>
    </row>
    <row r="54" spans="1:22" x14ac:dyDescent="0.3">
      <c r="A54">
        <v>15</v>
      </c>
      <c r="B54" t="str" cm="1">
        <f t="array" ref="B54">INDEX(AT_Chassis!$A$1:$A$37,Summary!$A54,1)</f>
        <v>Acastus</v>
      </c>
      <c r="C54" t="s">
        <v>360</v>
      </c>
      <c r="D54">
        <v>189</v>
      </c>
      <c r="E54" t="str" cm="1">
        <f t="array" ref="E54">IF(COUNTA(D54)&gt;0,INDEX(AT_Weapons!$A$1:$A$228,Summary!D54,1),"No Weapon")</f>
        <v>Twin Magma Lascannon (no blast)</v>
      </c>
      <c r="F54">
        <v>184</v>
      </c>
      <c r="G54" t="str" cm="1">
        <f t="array" ref="G54">IF(COUNTA(F54)&gt;0,INDEX(AT_Weapons!$A$1:$A$228,Summary!F54,1),"No Weapon")</f>
        <v>Ironstorm Missile Pod</v>
      </c>
      <c r="H54">
        <v>185</v>
      </c>
      <c r="I54" t="str" cm="1">
        <f t="array" ref="I54">IF(COUNTA(H54)&gt;0,INDEX(AT_Weapons!$A$1:$A$228,Summary!H54,1),"No Weapon")</f>
        <v>Twin Lascannon</v>
      </c>
      <c r="J54" cm="1">
        <f t="array" ref="J54">INDEX(AT_Chassis!$M$1:$M$37,A54,1)+INDEX(AT_Weapons!$K$1:$K$228,D54,1)+INDEX(AT_Weapons!$K$1:$K$228,F54,1)+IF(H54&gt;0,INDEX(AT_Weapons!$K$1:$K$228,H54,1),0)</f>
        <v>195</v>
      </c>
      <c r="K54" s="21" cm="1">
        <f t="array" ref="K54">INDEX(AT_Weapons!$AS$1:$AS$228,D54,1)+INDEX(AT_Weapons!$AS$1:$AS$228,F54,1)+IF(H54&gt;0,INDEX(AT_Weapons!$AS$1:$AS$228,H54,1),0)</f>
        <v>1.6074074074074074</v>
      </c>
      <c r="L54" s="21" cm="1">
        <f t="array" ref="L54">INDEX(AT_Weapons!$AU$1:$AU$228,D54,1)+INDEX(AT_Weapons!$AU$1:$AU$228,F54,1)+IF(H54&gt;0,INDEX(AT_Weapons!$AU$1:$AU$228,H54,1),0)</f>
        <v>2.7259259259259254</v>
      </c>
      <c r="M54" s="21" cm="1">
        <f t="array" ref="M54">(INDEX(AT_Weapons!$AV$1:$AV$438,D54,1)+INDEX(AT_Weapons!$AV$1:$AV$438,F54,1)+IF(H54&gt;0,INDEX(AT_Weapons!$AV$1:$AV$438,H54,1),0))/COUNTA(D54,F54,H54)</f>
        <v>10</v>
      </c>
      <c r="N54" s="21" t="str">
        <f>CONCATENATE(TEXT(L54/K54,"0.0"), " : 1")</f>
        <v>1.7 : 1</v>
      </c>
      <c r="O54" s="21" cm="1">
        <f t="array" ref="O54">INDEX(AT_Chassis!$DV$1:$DV$33,A54)/21*(310/J54)*3</f>
        <v>2.4899205221327447</v>
      </c>
      <c r="P54" s="28">
        <v>2</v>
      </c>
      <c r="Q54" s="21">
        <f>K54*O54</f>
        <v>4.0023166911318935</v>
      </c>
      <c r="R54" s="21">
        <f>Q54*100/J54</f>
        <v>2.0524700980163555</v>
      </c>
      <c r="S54" s="21">
        <f>L54*O54</f>
        <v>6.7873389047766661</v>
      </c>
      <c r="T54" s="21">
        <f>S54/J54*100</f>
        <v>3.4806866178341873</v>
      </c>
      <c r="U54" s="26">
        <f>(Q54+2*S54*(1+(M54-9.277)/2.11)^0.8)/3</f>
        <v>7.061796442187152</v>
      </c>
      <c r="V54" s="26">
        <f>U54*100/J54</f>
        <v>3.6214340729164882</v>
      </c>
    </row>
    <row r="55" spans="1:22" x14ac:dyDescent="0.3">
      <c r="A55">
        <v>15</v>
      </c>
      <c r="B55" t="str" cm="1">
        <f t="array" ref="B55">INDEX(AT_Chassis!$A$1:$A$37,Summary!$A55,1)</f>
        <v>Acastus</v>
      </c>
      <c r="C55" t="s">
        <v>360</v>
      </c>
      <c r="D55">
        <v>190</v>
      </c>
      <c r="E55" t="str" cm="1">
        <f t="array" ref="E55">IF(COUNTA(D55)&gt;0,INDEX(AT_Weapons!$A$1:$A$228,Summary!D55,1),"No Weapon")</f>
        <v>Twin Conversion Beam Cannon (no blast)</v>
      </c>
      <c r="F55">
        <v>187</v>
      </c>
      <c r="G55" t="str" cm="1">
        <f t="array" ref="G55">IF(COUNTA(F55)&gt;0,INDEX(AT_Weapons!$A$1:$A$228,Summary!F55,1),"No Weapon")</f>
        <v>Karacnos Mortar Battery</v>
      </c>
      <c r="H55">
        <v>188</v>
      </c>
      <c r="I55" t="str" cm="1">
        <f t="array" ref="I55">IF(COUNTA(H55)&gt;0,INDEX(AT_Weapons!$A$1:$A$228,Summary!H55,1),"No Weapon")</f>
        <v>Twin Volkite Culverins</v>
      </c>
      <c r="J55" cm="1">
        <f t="array" ref="J55">INDEX(AT_Chassis!$M$1:$M$37,A55,1)+INDEX(AT_Weapons!$K$1:$K$228,D55,1)+INDEX(AT_Weapons!$K$1:$K$228,F55,1)+IF(H55&gt;0,INDEX(AT_Weapons!$K$1:$K$228,H55,1),0)</f>
        <v>210</v>
      </c>
      <c r="K55" s="21" cm="1">
        <f t="array" ref="K55">INDEX(AT_Weapons!$AS$1:$AS$228,D55,1)+INDEX(AT_Weapons!$AS$1:$AS$228,F55,1)+IF(H55&gt;0,INDEX(AT_Weapons!$AS$1:$AS$228,H55,1),0)</f>
        <v>1.8892592592592592</v>
      </c>
      <c r="L55" s="21" cm="1">
        <f t="array" ref="L55">INDEX(AT_Weapons!$AU$1:$AU$228,D55,1)+INDEX(AT_Weapons!$AU$1:$AU$228,F55,1)+IF(H55&gt;0,INDEX(AT_Weapons!$AU$1:$AU$228,H55,1),0)</f>
        <v>3.1037037037037036</v>
      </c>
      <c r="M55" s="21" cm="1">
        <f t="array" ref="M55">(INDEX(AT_Weapons!$AV$1:$AV$438,D55,1)+INDEX(AT_Weapons!$AV$1:$AV$438,F55,1)+IF(H55&gt;0,INDEX(AT_Weapons!$AV$1:$AV$438,H55,1),0))/COUNTA(D55,F55,H55)</f>
        <v>10.333333333333334</v>
      </c>
      <c r="N55" s="21" t="str">
        <f>CONCATENATE(TEXT(L55/K55,"0.0"), " : 1")</f>
        <v>1.6 : 1</v>
      </c>
      <c r="O55" s="21" cm="1">
        <f t="array" ref="O55">INDEX(AT_Chassis!$DV$1:$DV$33,A55)/21*(310/J55)*3</f>
        <v>2.3120690562661204</v>
      </c>
      <c r="P55" s="28">
        <v>3</v>
      </c>
      <c r="Q55" s="21">
        <f>K55*O55</f>
        <v>4.368097872597585</v>
      </c>
      <c r="R55" s="21">
        <f>Q55*100/J55</f>
        <v>2.0800466059988501</v>
      </c>
      <c r="S55" s="21">
        <f>L55*O55</f>
        <v>7.1759772931518846</v>
      </c>
      <c r="T55" s="21">
        <f>S55/J55*100</f>
        <v>3.41713204435804</v>
      </c>
      <c r="U55" s="26">
        <f>(Q55+2*S55*(1+(M55-9.277)/2.11)^0.8)/3</f>
        <v>8.0752880313938178</v>
      </c>
      <c r="V55" s="26">
        <f>U55*100/J55</f>
        <v>3.8453752530446752</v>
      </c>
    </row>
    <row r="56" spans="1:22" x14ac:dyDescent="0.3">
      <c r="A56">
        <v>15</v>
      </c>
      <c r="B56" t="str" cm="1">
        <f t="array" ref="B56">INDEX(AT_Chassis!$A$1:$A$37,Summary!$A56,1)</f>
        <v>Acastus</v>
      </c>
      <c r="C56" t="s">
        <v>360</v>
      </c>
      <c r="D56">
        <v>191</v>
      </c>
      <c r="E56" t="str" cm="1">
        <f t="array" ref="E56">IF(COUNTA(D56)&gt;0,INDEX(AT_Weapons!$A$1:$A$228,Summary!D56,1),"No Weapon")</f>
        <v>Twin Conversion Beam Cannon (1 die each)</v>
      </c>
      <c r="F56">
        <v>187</v>
      </c>
      <c r="G56" t="str" cm="1">
        <f t="array" ref="G56">IF(COUNTA(F56)&gt;0,INDEX(AT_Weapons!$A$1:$A$228,Summary!F56,1),"No Weapon")</f>
        <v>Karacnos Mortar Battery</v>
      </c>
      <c r="H56">
        <v>188</v>
      </c>
      <c r="I56" t="str" cm="1">
        <f t="array" ref="I56">IF(COUNTA(H56)&gt;0,INDEX(AT_Weapons!$A$1:$A$228,Summary!H56,1),"No Weapon")</f>
        <v>Twin Volkite Culverins</v>
      </c>
      <c r="J56" cm="1">
        <f t="array" ref="J56">INDEX(AT_Chassis!$M$1:$M$37,A56,1)+INDEX(AT_Weapons!$K$1:$K$228,D56,1)+INDEX(AT_Weapons!$K$1:$K$228,F56,1)+IF(H56&gt;0,INDEX(AT_Weapons!$K$1:$K$228,H56,1),0)</f>
        <v>210</v>
      </c>
      <c r="K56" s="21" cm="1">
        <f t="array" ref="K56">INDEX(AT_Weapons!$AS$1:$AS$228,D56,1)+INDEX(AT_Weapons!$AS$1:$AS$228,F56,1)+IF(H56&gt;0,INDEX(AT_Weapons!$AS$1:$AS$228,H56,1),0)</f>
        <v>1.9707407407407407</v>
      </c>
      <c r="L56" s="21" cm="1">
        <f t="array" ref="L56">INDEX(AT_Weapons!$AU$1:$AU$228,D56,1)+INDEX(AT_Weapons!$AU$1:$AU$228,F56,1)+IF(H56&gt;0,INDEX(AT_Weapons!$AU$1:$AU$228,H56,1),0)</f>
        <v>3.5666666666666673</v>
      </c>
      <c r="M56" s="21" cm="1">
        <f t="array" ref="M56">(INDEX(AT_Weapons!$AV$1:$AV$438,D56,1)+INDEX(AT_Weapons!$AV$1:$AV$438,F56,1)+IF(H56&gt;0,INDEX(AT_Weapons!$AV$1:$AV$438,H56,1),0))/COUNTA(D56,F56,H56)</f>
        <v>10.333333333333334</v>
      </c>
      <c r="N56" s="21" t="str">
        <f>CONCATENATE(TEXT(L56/K56,"0.0"), " : 1")</f>
        <v>1.8 : 1</v>
      </c>
      <c r="O56" s="21" cm="1">
        <f t="array" ref="O56">INDEX(AT_Chassis!$DV$1:$DV$33,A56)/21*(310/J56)*3</f>
        <v>2.3120690562661204</v>
      </c>
      <c r="P56" s="28">
        <v>3</v>
      </c>
      <c r="Q56" s="21">
        <f>K56*O56</f>
        <v>4.5564886845896391</v>
      </c>
      <c r="R56" s="21">
        <f>Q56*100/J56</f>
        <v>2.1697565164712569</v>
      </c>
      <c r="S56" s="21">
        <f>L56*O56</f>
        <v>8.2463796340158311</v>
      </c>
      <c r="T56" s="21">
        <f>S56/J56*100</f>
        <v>3.9268474447694435</v>
      </c>
      <c r="U56" s="26">
        <f>(Q56+2*S56*(1+(M56-9.277)/2.11)^0.8)/3</f>
        <v>9.1254440688430343</v>
      </c>
      <c r="V56" s="26">
        <f>U56*100/J56</f>
        <v>4.3454495565919204</v>
      </c>
    </row>
    <row r="59" spans="1:22" x14ac:dyDescent="0.3">
      <c r="A59" s="6" t="s">
        <v>160</v>
      </c>
    </row>
    <row r="60" spans="1:22" x14ac:dyDescent="0.3">
      <c r="A60">
        <v>23</v>
      </c>
      <c r="B60" t="str" cm="1">
        <f t="array" ref="B60">INDEX(AT_Chassis!$A$1:$A$37,Summary!$A60,1)</f>
        <v>Revenant</v>
      </c>
      <c r="C60" t="s">
        <v>357</v>
      </c>
      <c r="D60">
        <v>202</v>
      </c>
      <c r="E60" t="str" cm="1">
        <f t="array" ref="E60">IF(COUNTA(D60)&gt;0,INDEX(AT_Weapons!$A$1:$A$228,Summary!D60,1),"No Weapon")</f>
        <v>Revenant Pulsar</v>
      </c>
      <c r="F60">
        <v>202</v>
      </c>
      <c r="G60" t="str" cm="1">
        <f t="array" ref="G60">IF(COUNTA(F60)&gt;0,INDEX(AT_Weapons!$A$1:$A$228,Summary!F60,1),"No Weapon")</f>
        <v>Revenant Pulsar</v>
      </c>
      <c r="H60">
        <v>201</v>
      </c>
      <c r="I60" t="str" cm="1">
        <f t="array" ref="I60">IF(COUNTA(H60)&gt;0,INDEX(AT_Weapons!$A$1:$A$228,Summary!H60,1),"No Weapon")</f>
        <v>Cloudburst Missile Launcher</v>
      </c>
      <c r="J60" cm="1">
        <f t="array" ref="J60">INDEX(AT_Chassis!$M$1:$M$37,A60,1)+INDEX(AT_Weapons!$K$1:$K$228,D60,1)+INDEX(AT_Weapons!$K$1:$K$228,F60,1)+IF(H60&gt;0,INDEX(AT_Weapons!$K$1:$K$228,H60,1),0)</f>
        <v>285</v>
      </c>
      <c r="K60" s="21" cm="1">
        <f t="array" ref="K60">INDEX(AT_Weapons!$AS$1:$AS$228,D60,1)+INDEX(AT_Weapons!$AS$1:$AS$228,F60,1)+IF(H60&gt;0,INDEX(AT_Weapons!$AS$1:$AS$228,H60,1),0)</f>
        <v>1.6296296296296298</v>
      </c>
      <c r="L60" s="21" cm="1">
        <f t="array" ref="L60">INDEX(AT_Weapons!$AU$1:$AU$228,D60,1)+INDEX(AT_Weapons!$AU$1:$AU$228,F60,1)+IF(H60&gt;0,INDEX(AT_Weapons!$AU$1:$AU$228,H60,1),0)</f>
        <v>3.162962962962963</v>
      </c>
      <c r="M60" s="21" cm="1">
        <f t="array" ref="M60">(INDEX(AT_Weapons!$AV$1:$AV$438,D60,1)+INDEX(AT_Weapons!$AV$1:$AV$438,F60,1)+IF(H60&gt;0,INDEX(AT_Weapons!$AV$1:$AV$438,H60,1),0))/COUNTA(D60,F60,H60)</f>
        <v>9.6666666666666661</v>
      </c>
      <c r="N60" s="21" t="str">
        <f>CONCATENATE(TEXT(L60/K60,"0.0"), " : 1")</f>
        <v>1.9 : 1</v>
      </c>
      <c r="O60" s="21" cm="1">
        <f t="array" ref="O60">INDEX(AT_Chassis!$DV$1:$DV$33,A60)/21*(310/J60)*3</f>
        <v>3.256419997524628</v>
      </c>
      <c r="P60" s="28">
        <v>1</v>
      </c>
      <c r="Q60" s="21">
        <f>K60*O60</f>
        <v>5.3067585144845797</v>
      </c>
      <c r="R60" s="21">
        <f>Q60*100/J60</f>
        <v>1.862020531398098</v>
      </c>
      <c r="S60" s="21">
        <f>L60*O60</f>
        <v>10.299935844022341</v>
      </c>
      <c r="T60" s="21">
        <f>S60/J60*100</f>
        <v>3.6140125768499445</v>
      </c>
      <c r="U60" s="26">
        <f>(Q60+2*S60*(1+(M60-9.277)/2.11)^0.8)/3</f>
        <v>9.6325477764991163</v>
      </c>
      <c r="V60" s="26">
        <f>U60*100/J60</f>
        <v>3.3798413250874093</v>
      </c>
    </row>
    <row r="61" spans="1:22" x14ac:dyDescent="0.3">
      <c r="A61">
        <v>23</v>
      </c>
      <c r="B61" t="str" cm="1">
        <f t="array" ref="B61">INDEX(AT_Chassis!$A$1:$A$37,Summary!$A61,1)</f>
        <v>Revenant</v>
      </c>
      <c r="C61" t="s">
        <v>357</v>
      </c>
      <c r="D61">
        <v>203</v>
      </c>
      <c r="E61" t="str" cm="1">
        <f t="array" ref="E61">IF(COUNTA(D61)&gt;0,INDEX(AT_Weapons!$A$1:$A$228,Summary!D61,1),"No Weapon")</f>
        <v>Sonic Lance</v>
      </c>
      <c r="F61">
        <v>203</v>
      </c>
      <c r="G61" t="str" cm="1">
        <f t="array" ref="G61">IF(COUNTA(F61)&gt;0,INDEX(AT_Weapons!$A$1:$A$228,Summary!F61,1),"No Weapon")</f>
        <v>Sonic Lance</v>
      </c>
      <c r="H61">
        <v>201</v>
      </c>
      <c r="I61" t="str" cm="1">
        <f t="array" ref="I61">IF(COUNTA(H61)&gt;0,INDEX(AT_Weapons!$A$1:$A$228,Summary!H61,1),"No Weapon")</f>
        <v>Cloudburst Missile Launcher</v>
      </c>
      <c r="J61" cm="1">
        <f t="array" ref="J61">INDEX(AT_Chassis!$M$1:$M$37,A61,1)+INDEX(AT_Weapons!$K$1:$K$228,D61,1)+INDEX(AT_Weapons!$K$1:$K$228,F61,1)+IF(H61&gt;0,INDEX(AT_Weapons!$K$1:$K$228,H61,1),0)</f>
        <v>255</v>
      </c>
      <c r="K61" s="21" cm="1">
        <f t="array" ref="K61">INDEX(AT_Weapons!$AS$1:$AS$228,D61,1)+INDEX(AT_Weapons!$AS$1:$AS$228,F61,1)+IF(H61&gt;0,INDEX(AT_Weapons!$AS$1:$AS$228,H61,1),0)</f>
        <v>0.74074074074074081</v>
      </c>
      <c r="L61" s="21" cm="1">
        <f t="array" ref="L61">INDEX(AT_Weapons!$AU$1:$AU$228,D61,1)+INDEX(AT_Weapons!$AU$1:$AU$228,F61,1)+IF(H61&gt;0,INDEX(AT_Weapons!$AU$1:$AU$228,H61,1),0)</f>
        <v>2.6027777777777779</v>
      </c>
      <c r="M61" s="21" cm="1">
        <f t="array" ref="M61">(INDEX(AT_Weapons!$AV$1:$AV$438,D61,1)+INDEX(AT_Weapons!$AV$1:$AV$438,F61,1)+IF(H61&gt;0,INDEX(AT_Weapons!$AV$1:$AV$438,H61,1),0))/COUNTA(D61,F61,H61)</f>
        <v>9</v>
      </c>
      <c r="N61" s="21" t="str">
        <f>CONCATENATE(TEXT(L61/K61,"0.0"), " : 1")</f>
        <v>3.5 : 1</v>
      </c>
      <c r="O61" s="21" cm="1">
        <f t="array" ref="O61">INDEX(AT_Chassis!$DV$1:$DV$33,A61)/21*(310/J61)*3</f>
        <v>3.6395282325275247</v>
      </c>
      <c r="P61" s="28">
        <v>1</v>
      </c>
      <c r="Q61" s="21">
        <f>K61*O61</f>
        <v>2.6959468389092778</v>
      </c>
      <c r="R61" s="21">
        <f>Q61*100/J61</f>
        <v>1.0572340544742267</v>
      </c>
      <c r="S61" s="21">
        <f>L61*O61</f>
        <v>9.4728832052174745</v>
      </c>
      <c r="T61" s="21">
        <f>S61/J61*100</f>
        <v>3.7148561589088134</v>
      </c>
      <c r="U61" s="26">
        <f>(Q61+2*S61*(1+(M61-9.277)/2.11)^0.8)/3</f>
        <v>6.5414525032888564</v>
      </c>
      <c r="V61" s="26">
        <f>U61*100/J61</f>
        <v>2.565275491485826</v>
      </c>
    </row>
    <row r="63" spans="1:22" x14ac:dyDescent="0.3">
      <c r="A63" s="6" t="s">
        <v>161</v>
      </c>
      <c r="K63" s="21"/>
      <c r="L63" s="21"/>
      <c r="M63" s="21"/>
      <c r="N63" s="21"/>
      <c r="O63" s="21"/>
      <c r="Q63" s="21"/>
      <c r="R63" s="21"/>
      <c r="S63" s="21"/>
      <c r="T63" s="21"/>
      <c r="U63" s="26"/>
      <c r="V63" s="26"/>
    </row>
    <row r="64" spans="1:22" x14ac:dyDescent="0.3">
      <c r="A64">
        <v>24</v>
      </c>
      <c r="B64" t="str" cm="1">
        <f t="array" ref="B64">INDEX(AT_Chassis!$A$1:$A$37,Summary!$A64,1)</f>
        <v>Phantom</v>
      </c>
      <c r="C64" t="s">
        <v>357</v>
      </c>
      <c r="D64">
        <v>210</v>
      </c>
      <c r="E64" t="str" cm="1">
        <f t="array" ref="E64">IF(COUNTA(D64)&gt;0,INDEX(AT_Weapons!$A$1:$A$228,Summary!D64,1),"No Weapon")</f>
        <v>Phantom Pulsar</v>
      </c>
      <c r="F64">
        <v>210</v>
      </c>
      <c r="G64" t="str" cm="1">
        <f t="array" ref="G64">IF(COUNTA(F64)&gt;0,INDEX(AT_Weapons!$A$1:$A$228,Summary!F64,1),"No Weapon")</f>
        <v>Phantom Pulsar</v>
      </c>
      <c r="H64">
        <v>211</v>
      </c>
      <c r="I64" t="str" cm="1">
        <f t="array" ref="I64">IF(COUNTA(H64)&gt;0,INDEX(AT_Weapons!$A$1:$A$228,Summary!H64,1),"No Weapon")</f>
        <v>Voidstorm ML</v>
      </c>
      <c r="J64" cm="1">
        <f t="array" ref="J64">INDEX(AT_Chassis!$M$1:$M$37,A64,1)+INDEX(AT_Weapons!$K$1:$K$228,D64,1)+INDEX(AT_Weapons!$K$1:$K$228,F64,1)+IF(H64&gt;0,INDEX(AT_Weapons!$K$1:$K$228,H64,1),0)</f>
        <v>445</v>
      </c>
      <c r="K64" s="21" cm="1">
        <f t="array" ref="K64">INDEX(AT_Weapons!$AS$1:$AS$228,D64,1)+INDEX(AT_Weapons!$AS$1:$AS$228,F64,1)+IF(H64&gt;0,INDEX(AT_Weapons!$AS$1:$AS$228,H64,1),0)</f>
        <v>2.6111111111111112</v>
      </c>
      <c r="L64" s="21" cm="1">
        <f t="array" ref="L64">INDEX(AT_Weapons!$AU$1:$AU$228,D64,1)+INDEX(AT_Weapons!$AU$1:$AU$228,F64,1)+IF(H64&gt;0,INDEX(AT_Weapons!$AU$1:$AU$228,H64,1),0)</f>
        <v>5.5555555555555554</v>
      </c>
      <c r="M64" s="21" cm="1">
        <f t="array" ref="M64">(INDEX(AT_Weapons!$AV$1:$AV$438,D64,1)+INDEX(AT_Weapons!$AV$1:$AV$438,F64,1)+IF(H64&gt;0,INDEX(AT_Weapons!$AV$1:$AV$438,H64,1),0))/COUNTA(D64,F64,H64)</f>
        <v>10.333333333333334</v>
      </c>
      <c r="N64" s="21" t="str">
        <f>CONCATENATE(TEXT(L64/K64,"0.0"), " : 1")</f>
        <v>2.1 : 1</v>
      </c>
      <c r="O64" s="21" cm="1">
        <f t="array" ref="O64">INDEX(AT_Chassis!$DV$1:$DV$33,A64)/21*(310/J64)*3</f>
        <v>4.3528134276849038</v>
      </c>
      <c r="P64" s="28">
        <v>1</v>
      </c>
      <c r="Q64" s="21">
        <f>K64*O64</f>
        <v>11.365679505621694</v>
      </c>
      <c r="R64" s="21">
        <f>Q64*100/J64</f>
        <v>2.5540852821621787</v>
      </c>
      <c r="S64" s="21">
        <f>L64*O64</f>
        <v>24.182296820471688</v>
      </c>
      <c r="T64" s="21">
        <f>S64/J64*100</f>
        <v>5.4342240046003791</v>
      </c>
      <c r="U64" s="26">
        <f>(Q64+2*S64*(1+(M64-9.277)/2.11)^0.8)/3</f>
        <v>26.094761826683435</v>
      </c>
      <c r="V64" s="26">
        <f>U64*100/J64</f>
        <v>5.863991421726614</v>
      </c>
    </row>
    <row r="65" spans="1:22" x14ac:dyDescent="0.3">
      <c r="A65">
        <v>24</v>
      </c>
      <c r="B65" t="str" cm="1">
        <f t="array" ref="B65">INDEX(AT_Chassis!$A$1:$A$37,Summary!$A65,1)</f>
        <v>Phantom</v>
      </c>
      <c r="C65" t="s">
        <v>357</v>
      </c>
      <c r="D65">
        <v>214</v>
      </c>
      <c r="E65" t="str" cm="1">
        <f t="array" ref="E65">IF(COUNTA(D65)&gt;0,INDEX(AT_Weapons!$A$1:$A$228,Summary!D65,1),"No Weapon")</f>
        <v>Phantom Pulsar (Powered)</v>
      </c>
      <c r="F65">
        <v>209</v>
      </c>
      <c r="G65" t="str" cm="1">
        <f t="array" ref="G65">IF(COUNTA(F65)&gt;0,INDEX(AT_Weapons!$A$1:$A$228,Summary!F65,1),"No Weapon")</f>
        <v>D-bombard</v>
      </c>
      <c r="H65">
        <v>211</v>
      </c>
      <c r="I65" t="str" cm="1">
        <f t="array" ref="I65">IF(COUNTA(H65)&gt;0,INDEX(AT_Weapons!$A$1:$A$228,Summary!H65,1),"No Weapon")</f>
        <v>Voidstorm ML</v>
      </c>
      <c r="J65" cm="1">
        <f t="array" ref="J65">INDEX(AT_Chassis!$M$1:$M$37,A65,1)+INDEX(AT_Weapons!$K$1:$K$228,D65,1)+INDEX(AT_Weapons!$K$1:$K$228,F65,1)+IF(H65&gt;0,INDEX(AT_Weapons!$K$1:$K$228,H65,1),0)</f>
        <v>465</v>
      </c>
      <c r="K65" s="21" cm="1">
        <f t="array" ref="K65">INDEX(AT_Weapons!$AS$1:$AS$228,D65,1)+INDEX(AT_Weapons!$AS$1:$AS$228,F65,1)+IF(H65&gt;0,INDEX(AT_Weapons!$AS$1:$AS$228,H65,1),0)</f>
        <v>1.6111111111111112</v>
      </c>
      <c r="L65" s="21" cm="1">
        <f t="array" ref="L65">INDEX(AT_Weapons!$AU$1:$AU$228,D65,1)+INDEX(AT_Weapons!$AU$1:$AU$228,F65,1)+IF(H65&gt;0,INDEX(AT_Weapons!$AU$1:$AU$228,H65,1),0)</f>
        <v>5.8923611111111107</v>
      </c>
      <c r="M65" s="21" cm="1">
        <f t="array" ref="M65">(INDEX(AT_Weapons!$AV$1:$AV$438,D65,1)+INDEX(AT_Weapons!$AV$1:$AV$438,F65,1)+IF(H65&gt;0,INDEX(AT_Weapons!$AV$1:$AV$438,H65,1),0))/COUNTA(D65,F65,H65)</f>
        <v>11.666666666666666</v>
      </c>
      <c r="N65" s="21" t="str">
        <f>CONCATENATE(TEXT(L65/K65,"0.0"), " : 1")</f>
        <v>3.7 : 1</v>
      </c>
      <c r="O65" s="21" cm="1">
        <f t="array" ref="O65">INDEX(AT_Chassis!$DV$1:$DV$33,A65)/21*(310/J65)*3</f>
        <v>4.1655956458489936</v>
      </c>
      <c r="P65" s="28">
        <v>1</v>
      </c>
      <c r="Q65" s="21">
        <f>K65*O65</f>
        <v>6.7112374294233783</v>
      </c>
      <c r="R65" s="21">
        <f>Q65*100/J65</f>
        <v>1.4432768665426619</v>
      </c>
      <c r="S65" s="21">
        <f>L65*O65</f>
        <v>24.54519378821438</v>
      </c>
      <c r="T65" s="21">
        <f>S65/J65*100</f>
        <v>5.2785362985407271</v>
      </c>
      <c r="U65" s="26">
        <f>(Q65+2*S65*(1+(M65-9.277)/2.11)^0.8)/3</f>
        <v>32.228256567891414</v>
      </c>
      <c r="V65" s="26">
        <f>U65*100/J65</f>
        <v>6.9308078640626691</v>
      </c>
    </row>
    <row r="66" spans="1:22" x14ac:dyDescent="0.3">
      <c r="A66">
        <v>24</v>
      </c>
      <c r="B66" t="str" cm="1">
        <f t="array" ref="B66">INDEX(AT_Chassis!$A$1:$A$37,Summary!$A66,1)</f>
        <v>Phantom</v>
      </c>
      <c r="C66" t="s">
        <v>359</v>
      </c>
      <c r="D66">
        <v>210</v>
      </c>
      <c r="E66" t="str" cm="1">
        <f t="array" ref="E66">IF(COUNTA(D66)&gt;0,INDEX(AT_Weapons!$A$1:$A$228,Summary!D66,1),"No Weapon")</f>
        <v>Phantom Pulsar</v>
      </c>
      <c r="F66">
        <v>213</v>
      </c>
      <c r="G66" t="str" cm="1">
        <f t="array" ref="G66">IF(COUNTA(F66)&gt;0,INDEX(AT_Weapons!$A$1:$A$228,Summary!F66,1),"No Weapon")</f>
        <v>Wraith Glaive</v>
      </c>
      <c r="H66">
        <v>211</v>
      </c>
      <c r="I66" t="str" cm="1">
        <f t="array" ref="I66">IF(COUNTA(H66)&gt;0,INDEX(AT_Weapons!$A$1:$A$228,Summary!H66,1),"No Weapon")</f>
        <v>Voidstorm ML</v>
      </c>
      <c r="J66" cm="1">
        <f t="array" ref="J66">INDEX(AT_Chassis!$M$1:$M$37,A66,1)+INDEX(AT_Weapons!$K$1:$K$228,D66,1)+INDEX(AT_Weapons!$K$1:$K$228,F66,1)+IF(H66&gt;0,INDEX(AT_Weapons!$K$1:$K$228,H66,1),0)</f>
        <v>435</v>
      </c>
      <c r="K66" s="21" cm="1">
        <f t="array" ref="K66">INDEX(AT_Weapons!$AS$1:$AS$228,D66,1)+INDEX(AT_Weapons!$AS$1:$AS$228,F66,1)+IF(H66&gt;0,INDEX(AT_Weapons!$AS$1:$AS$228,H66,1),0)</f>
        <v>1.6111111111111112</v>
      </c>
      <c r="L66" s="21" cm="1">
        <f t="array" ref="L66">INDEX(AT_Weapons!$AU$1:$AU$228,D66,1)+INDEX(AT_Weapons!$AU$1:$AU$228,F66,1)+IF(H66&gt;0,INDEX(AT_Weapons!$AU$1:$AU$228,H66,1),0)</f>
        <v>5.78125</v>
      </c>
      <c r="M66" s="21" cm="1">
        <f t="array" ref="M66">(INDEX(AT_Weapons!$AV$1:$AV$438,D66,1)+INDEX(AT_Weapons!$AV$1:$AV$438,F66,1)+IF(H66&gt;0,INDEX(AT_Weapons!$AV$1:$AV$438,H66,1),0))/COUNTA(D66,F66,H66)</f>
        <v>10.333333333333334</v>
      </c>
      <c r="N66" s="21" t="str">
        <f>CONCATENATE(TEXT(L66/K66,"0.0"), " : 1")</f>
        <v>3.6 : 1</v>
      </c>
      <c r="O66" s="21" cm="1">
        <f t="array" ref="O66">INDEX(AT_Chassis!$DV$1:$DV$33,A66)/21*(310/J66)*3</f>
        <v>4.4528781041834069</v>
      </c>
      <c r="P66" s="28">
        <v>1</v>
      </c>
      <c r="Q66" s="21">
        <f>K66*O66</f>
        <v>7.1740813900732672</v>
      </c>
      <c r="R66" s="21">
        <f>Q66*100/J66</f>
        <v>1.6492141126605211</v>
      </c>
      <c r="S66" s="21">
        <f>L66*O66</f>
        <v>25.743201539810322</v>
      </c>
      <c r="T66" s="21">
        <f>S66/J66*100</f>
        <v>5.9179773654736376</v>
      </c>
      <c r="U66" s="26">
        <f>(Q66+2*S66*(1+(M66-9.277)/2.11)^0.8)/3</f>
        <v>26.137370104930316</v>
      </c>
      <c r="V66" s="26">
        <f>U66*100/J66</f>
        <v>6.0085908287196128</v>
      </c>
    </row>
    <row r="67" spans="1:22" x14ac:dyDescent="0.3">
      <c r="A67">
        <v>24</v>
      </c>
      <c r="B67" t="str" cm="1">
        <f t="array" ref="B67">INDEX(AT_Chassis!$A$1:$A$37,Summary!$A67,1)</f>
        <v>Phantom</v>
      </c>
      <c r="C67" t="s">
        <v>359</v>
      </c>
      <c r="D67">
        <v>213</v>
      </c>
      <c r="E67" t="str" cm="1">
        <f t="array" ref="E67">IF(COUNTA(D67)&gt;0,INDEX(AT_Weapons!$A$1:$A$228,Summary!D67,1),"No Weapon")</f>
        <v>Wraith Glaive</v>
      </c>
      <c r="F67">
        <v>213</v>
      </c>
      <c r="G67" t="str" cm="1">
        <f t="array" ref="G67">IF(COUNTA(F67)&gt;0,INDEX(AT_Weapons!$A$1:$A$228,Summary!F67,1),"No Weapon")</f>
        <v>Wraith Glaive</v>
      </c>
      <c r="H67">
        <v>211</v>
      </c>
      <c r="I67" t="str" cm="1">
        <f t="array" ref="I67">IF(COUNTA(H67)&gt;0,INDEX(AT_Weapons!$A$1:$A$228,Summary!H67,1),"No Weapon")</f>
        <v>Voidstorm ML</v>
      </c>
      <c r="J67" cm="1">
        <f t="array" ref="J67">INDEX(AT_Chassis!$M$1:$M$37,A67,1)+INDEX(AT_Weapons!$K$1:$K$228,D67,1)+INDEX(AT_Weapons!$K$1:$K$228,F67,1)+IF(H67&gt;0,INDEX(AT_Weapons!$K$1:$K$228,H67,1),0)</f>
        <v>425</v>
      </c>
      <c r="K67" s="21" cm="1">
        <f t="array" ref="K67">INDEX(AT_Weapons!$AS$1:$AS$228,D67,1)+INDEX(AT_Weapons!$AS$1:$AS$228,F67,1)+IF(H67&gt;0,INDEX(AT_Weapons!$AS$1:$AS$228,H67,1),0)</f>
        <v>0.61111111111111105</v>
      </c>
      <c r="L67" s="21" cm="1">
        <f t="array" ref="L67">INDEX(AT_Weapons!$AU$1:$AU$228,D67,1)+INDEX(AT_Weapons!$AU$1:$AU$228,F67,1)+IF(H67&gt;0,INDEX(AT_Weapons!$AU$1:$AU$228,H67,1),0)</f>
        <v>6.0069444444444438</v>
      </c>
      <c r="M67" s="21" cm="1">
        <f t="array" ref="M67">(INDEX(AT_Weapons!$AV$1:$AV$438,D67,1)+INDEX(AT_Weapons!$AV$1:$AV$438,F67,1)+IF(H67&gt;0,INDEX(AT_Weapons!$AV$1:$AV$438,H67,1),0))/COUNTA(D67,F67,H67)</f>
        <v>10.333333333333334</v>
      </c>
      <c r="N67" s="21" t="str">
        <f>CONCATENATE(TEXT(L67/K67,"0.0"), " : 1")</f>
        <v>9.8 : 1</v>
      </c>
      <c r="O67" s="21" cm="1">
        <f t="array" ref="O67">INDEX(AT_Chassis!$DV$1:$DV$33,A67)/21*(310/J67)*3</f>
        <v>4.5576517066347808</v>
      </c>
      <c r="P67" s="28">
        <v>1</v>
      </c>
      <c r="Q67" s="21">
        <f>K67*O67</f>
        <v>2.7852315984990326</v>
      </c>
      <c r="R67" s="21">
        <f>Q67*100/J67</f>
        <v>0.65534861141153711</v>
      </c>
      <c r="S67" s="21">
        <f>L67*O67</f>
        <v>27.377560598882535</v>
      </c>
      <c r="T67" s="21">
        <f>S67/J67*100</f>
        <v>6.4417789644429497</v>
      </c>
      <c r="U67" s="26">
        <f>(Q67+2*S67*(1+(M67-9.277)/2.11)^0.8)/3</f>
        <v>26.181983478624115</v>
      </c>
      <c r="V67" s="26">
        <f>U67*100/J67</f>
        <v>6.1604667008527327</v>
      </c>
    </row>
    <row r="69" spans="1:22" x14ac:dyDescent="0.3">
      <c r="A69" s="60" t="s">
        <v>780</v>
      </c>
    </row>
    <row r="70" spans="1:22" x14ac:dyDescent="0.3">
      <c r="A70" s="6" t="s">
        <v>874</v>
      </c>
    </row>
    <row r="71" spans="1:22" x14ac:dyDescent="0.3">
      <c r="A71">
        <v>30</v>
      </c>
      <c r="B71" t="str" cm="1">
        <f t="array" ref="B71">INDEX(AT_Chassis!$A$1:$A$37,Summary!$A71,1)</f>
        <v>Barracuda</v>
      </c>
      <c r="C71" t="s">
        <v>357</v>
      </c>
      <c r="D71">
        <v>233</v>
      </c>
      <c r="E71" t="str" cm="1">
        <f t="array" ref="E71">IF(COUNTA(D71)&gt;0,INDEX(AT_Weapons!$A$1:$A$301,Summary!D71,1),"No Weapon")</f>
        <v>Missile Pod</v>
      </c>
      <c r="F71">
        <v>236</v>
      </c>
      <c r="G71" t="str" cm="1">
        <f t="array" ref="G71">IF(COUNTA(F71)&gt;0,INDEX(AT_Weapons!$A$1:$A$301,Summary!F71,1),"No Weapon")</f>
        <v>2x Long-barrelled Burst Cannon</v>
      </c>
      <c r="H71">
        <v>249</v>
      </c>
      <c r="I71" t="str" cm="1">
        <f t="array" ref="I71">IF(COUNTA(H71)&gt;0,INDEX(AT_Weapons!$A$1:$A$301,Summary!H71,1),"No Weapon")</f>
        <v>Ion Cannon</v>
      </c>
      <c r="J71" cm="1">
        <f t="array" ref="J71">INDEX(AT_Chassis!$M$1:$M$37,A71,1)+INDEX(AT_Weapons!$K$1:$K$301,D71,1)+INDEX(AT_Weapons!$K$1:$K$301,F71,1)+IF(H71&gt;0,INDEX(AT_Weapons!$K$1:$K$301,H71,1),0)</f>
        <v>35</v>
      </c>
      <c r="K71" s="21" cm="1">
        <f t="array" ref="K71">INDEX(AT_Weapons!$AS$1:$AS$301,D71,1)+INDEX(AT_Weapons!$AS$1:$AS$301,F71,1)+IF(H71&gt;0,INDEX(AT_Weapons!$AS$1:$AS$301,H71,1),0)</f>
        <v>0.66543209876543208</v>
      </c>
      <c r="L71" s="21" cm="1">
        <f t="array" ref="L71">INDEX(AT_Weapons!$AU$1:$AU$301,D71,1)+INDEX(AT_Weapons!$AU$1:$AU$301,F71,1)+IF(H71&gt;0,INDEX(AT_Weapons!$AU$1:$AU$301,H71,1),0)</f>
        <v>0.57901234567901227</v>
      </c>
      <c r="M71" s="21" cm="1">
        <f t="array" ref="M71">(INDEX(AT_Weapons!$AV$1:$AV$438,D71,1)+INDEX(AT_Weapons!$AV$1:$AV$438,F71,1)+IF(H71&gt;0,INDEX(AT_Weapons!$AV$1:$AV$438,H71,1),0))/COUNTA(D71,F71,H71)</f>
        <v>11.333333333333334</v>
      </c>
      <c r="N71" s="21" t="str">
        <f t="shared" ref="N71:N78" si="7">CONCATENATE(TEXT(L71/K71,"0.0"), " : 1")</f>
        <v>0.9 : 1</v>
      </c>
      <c r="O71" s="21" cm="1">
        <f t="array" ref="O71">INDEX(AT_Chassis!$DV$1:$DV$54,A71)/21*(310/J71)*3</f>
        <v>2.56497710405811</v>
      </c>
      <c r="P71" s="28">
        <v>1</v>
      </c>
      <c r="Q71" s="21">
        <f t="shared" ref="Q71:Q78" si="8">K71*O71</f>
        <v>1.7068180976386682</v>
      </c>
      <c r="R71" s="21">
        <f t="shared" ref="R71:R78" si="9">Q71*100/J71</f>
        <v>4.8766231361104806</v>
      </c>
      <c r="S71" s="21">
        <f t="shared" ref="S71:S78" si="10">L71*O71</f>
        <v>1.4851534096336463</v>
      </c>
      <c r="T71" s="21">
        <f t="shared" ref="T71:T78" si="11">S71/J71*100</f>
        <v>4.2432954560961322</v>
      </c>
      <c r="U71" s="26">
        <f t="shared" ref="U71:U78" si="12">(Q71+2*S71*(1+(M71-9.277)/2.11)^0.8)/3</f>
        <v>2.275246882782199</v>
      </c>
      <c r="V71" s="26">
        <f t="shared" ref="V71:V78" si="13">U71*100/J71</f>
        <v>6.5007053793777114</v>
      </c>
    </row>
    <row r="72" spans="1:22" x14ac:dyDescent="0.3">
      <c r="A72">
        <v>31</v>
      </c>
      <c r="B72" t="str" cm="1">
        <f t="array" ref="B72">INDEX(AT_Chassis!$A$1:$A$37,Summary!$A72,1)</f>
        <v>Tiger Shark</v>
      </c>
      <c r="C72" t="s">
        <v>357</v>
      </c>
      <c r="D72">
        <v>233</v>
      </c>
      <c r="E72" t="str" cm="1">
        <f t="array" ref="E72">IF(COUNTA(D72)&gt;0,INDEX(AT_Weapons!$A$1:$A$301,Summary!D72,1),"No Weapon")</f>
        <v>Missile Pod</v>
      </c>
      <c r="F72">
        <v>247</v>
      </c>
      <c r="G72" t="str" cm="1">
        <f t="array" ref="G72">IF(COUNTA(F72)&gt;0,INDEX(AT_Weapons!$A$1:$A$301,Summary!F72,1),"No Weapon")</f>
        <v>2x Cyclic Ion Blaster</v>
      </c>
      <c r="H72">
        <v>249</v>
      </c>
      <c r="I72" t="str" cm="1">
        <f t="array" ref="I72">IF(COUNTA(H72)&gt;0,INDEX(AT_Weapons!$A$1:$A$301,Summary!H72,1),"No Weapon")</f>
        <v>Ion Cannon</v>
      </c>
      <c r="J72" cm="1">
        <f t="array" ref="J72">INDEX(AT_Chassis!$M$1:$M$37,A72,1)+INDEX(AT_Weapons!$K$1:$K$301,D72,1)+INDEX(AT_Weapons!$K$1:$K$301,F72,1)+IF(H72&gt;0,INDEX(AT_Weapons!$K$1:$K$301,H72,1),0)</f>
        <v>55</v>
      </c>
      <c r="K72" s="21" cm="1">
        <f t="array" ref="K72">INDEX(AT_Weapons!$AS$1:$AS$301,D72,1)+INDEX(AT_Weapons!$AS$1:$AS$301,F72,1)+IF(H72&gt;0,INDEX(AT_Weapons!$AS$1:$AS$301,H72,1),0)</f>
        <v>0.44814814814814818</v>
      </c>
      <c r="L72" s="21" cm="1">
        <f t="array" ref="L72">INDEX(AT_Weapons!$AU$1:$AU$301,D72,1)+INDEX(AT_Weapons!$AU$1:$AU$301,F72,1)+IF(H72&gt;0,INDEX(AT_Weapons!$AU$1:$AU$301,H72,1),0)</f>
        <v>0.44074074074074071</v>
      </c>
      <c r="M72" s="21" cm="1">
        <f t="array" ref="M72">(INDEX(AT_Weapons!$AV$1:$AV$438,D72,1)+INDEX(AT_Weapons!$AV$1:$AV$438,F72,1)+IF(H72&gt;0,INDEX(AT_Weapons!$AV$1:$AV$438,H72,1),0))/COUNTA(D72,F72,H72)</f>
        <v>11.333333333333334</v>
      </c>
      <c r="N72" s="21" t="str">
        <f t="shared" si="7"/>
        <v>1.0 : 1</v>
      </c>
      <c r="O72" s="21" cm="1">
        <f t="array" ref="O72">INDEX(AT_Chassis!$DV$1:$DV$54,A72)/21*(310/J72)*3</f>
        <v>3.2645163142557756</v>
      </c>
      <c r="P72" s="28">
        <v>1</v>
      </c>
      <c r="Q72" s="21">
        <f t="shared" si="8"/>
        <v>1.462986940833144</v>
      </c>
      <c r="R72" s="21">
        <f t="shared" si="9"/>
        <v>2.6599762560602618</v>
      </c>
      <c r="S72" s="21">
        <f t="shared" si="10"/>
        <v>1.4388053385053232</v>
      </c>
      <c r="T72" s="21">
        <f t="shared" si="11"/>
        <v>2.616009706373315</v>
      </c>
      <c r="U72" s="26">
        <f t="shared" si="12"/>
        <v>2.1407200708274479</v>
      </c>
      <c r="V72" s="26">
        <f t="shared" si="13"/>
        <v>3.8922183105953598</v>
      </c>
    </row>
    <row r="73" spans="1:22" x14ac:dyDescent="0.3">
      <c r="A73">
        <v>32</v>
      </c>
      <c r="B73" t="str" cm="1">
        <f t="array" ref="B73">INDEX(AT_Chassis!$A$1:$A$37,Summary!$A73,1)</f>
        <v>Tiger Shark AX-1-0</v>
      </c>
      <c r="C73" t="s">
        <v>357</v>
      </c>
      <c r="D73">
        <v>233</v>
      </c>
      <c r="E73" t="str" cm="1">
        <f t="array" ref="E73">IF(COUNTA(D73)&gt;0,INDEX(AT_Weapons!$A$1:$A$301,Summary!D73,1),"No Weapon")</f>
        <v>Missile Pod</v>
      </c>
      <c r="F73">
        <v>247</v>
      </c>
      <c r="G73" t="str" cm="1">
        <f t="array" ref="G73">IF(COUNTA(F73)&gt;0,INDEX(AT_Weapons!$A$1:$A$301,Summary!F73,1),"No Weapon")</f>
        <v>2x Cyclic Ion Blaster</v>
      </c>
      <c r="H73">
        <v>241</v>
      </c>
      <c r="I73" t="str" cm="1">
        <f t="array" ref="I73">IF(COUNTA(H73)&gt;0,INDEX(AT_Weapons!$A$1:$A$301,Summary!H73,1),"No Weapon")</f>
        <v>Twin Heavy Rail Cannon</v>
      </c>
      <c r="J73" cm="1">
        <f t="array" ref="J73">INDEX(AT_Chassis!$M$1:$M$37,A73,1)+INDEX(AT_Weapons!$K$1:$K$301,D73,1)+INDEX(AT_Weapons!$K$1:$K$301,F73,1)+IF(H73&gt;0,INDEX(AT_Weapons!$K$1:$K$301,H73,1),0)</f>
        <v>70</v>
      </c>
      <c r="K73" s="21" cm="1">
        <f t="array" ref="K73">INDEX(AT_Weapons!$AS$1:$AS$301,D73,1)+INDEX(AT_Weapons!$AS$1:$AS$301,F73,1)+IF(H73&gt;0,INDEX(AT_Weapons!$AS$1:$AS$301,H73,1),0)</f>
        <v>0.54074074074074074</v>
      </c>
      <c r="L73" s="21" cm="1">
        <f t="array" ref="L73">INDEX(AT_Weapons!$AU$1:$AU$301,D73,1)+INDEX(AT_Weapons!$AU$1:$AU$301,F73,1)+IF(H73&gt;0,INDEX(AT_Weapons!$AU$1:$AU$301,H73,1),0)</f>
        <v>1.0425925925925927</v>
      </c>
      <c r="M73" s="21" cm="1">
        <f t="array" ref="M73">(INDEX(AT_Weapons!$AV$1:$AV$438,D73,1)+INDEX(AT_Weapons!$AV$1:$AV$438,F73,1)+IF(H73&gt;0,INDEX(AT_Weapons!$AV$1:$AV$438,H73,1),0))/COUNTA(D73,F73,H73)</f>
        <v>11.333333333333334</v>
      </c>
      <c r="N73" s="21" t="str">
        <f t="shared" si="7"/>
        <v>1.9 : 1</v>
      </c>
      <c r="O73" s="21" cm="1">
        <f t="array" ref="O73">INDEX(AT_Chassis!$DV$1:$DV$54,A73)/21*(310/J73)*3</f>
        <v>2.56497710405811</v>
      </c>
      <c r="P73" s="28">
        <v>1</v>
      </c>
      <c r="Q73" s="21">
        <f t="shared" si="8"/>
        <v>1.3869876192314223</v>
      </c>
      <c r="R73" s="21">
        <f t="shared" si="9"/>
        <v>1.9814108846163176</v>
      </c>
      <c r="S73" s="21">
        <f t="shared" si="10"/>
        <v>2.6742261288605853</v>
      </c>
      <c r="T73" s="21">
        <f t="shared" si="11"/>
        <v>3.820323041229408</v>
      </c>
      <c r="U73" s="26">
        <f t="shared" si="12"/>
        <v>3.5347741915368758</v>
      </c>
      <c r="V73" s="26">
        <f t="shared" si="13"/>
        <v>5.0496774164812512</v>
      </c>
    </row>
    <row r="74" spans="1:22" x14ac:dyDescent="0.3">
      <c r="A74">
        <v>33</v>
      </c>
      <c r="B74" t="str" cm="1">
        <f t="array" ref="B74">INDEX(AT_Chassis!$A$1:$A$37,Summary!$A74,1)</f>
        <v>Manta</v>
      </c>
      <c r="C74" t="s">
        <v>357</v>
      </c>
      <c r="D74">
        <v>233</v>
      </c>
      <c r="E74" t="str" cm="1">
        <f t="array" ref="E74">IF(COUNTA(D74)&gt;0,INDEX(AT_Weapons!$A$1:$A$301,Summary!D74,1),"No Weapon")</f>
        <v>Missile Pod</v>
      </c>
      <c r="F74">
        <v>250</v>
      </c>
      <c r="G74" t="str" cm="1">
        <f t="array" ref="G74">IF(COUNTA(F74)&gt;0,INDEX(AT_Weapons!$A$1:$A$301,Summary!F74,1),"No Weapon")</f>
        <v>Ion Cannon Array</v>
      </c>
      <c r="H74">
        <v>241</v>
      </c>
      <c r="I74" t="str" cm="1">
        <f t="array" ref="I74">IF(COUNTA(H74)&gt;0,INDEX(AT_Weapons!$A$1:$A$301,Summary!H74,1),"No Weapon")</f>
        <v>Twin Heavy Rail Cannon</v>
      </c>
      <c r="J74" cm="1">
        <f t="array" ref="J74">INDEX(AT_Chassis!$M$1:$M$37,A74,1)+INDEX(AT_Weapons!$K$1:$K$301,D74,1)+INDEX(AT_Weapons!$K$1:$K$301,F74,1)+IF(H74&gt;0,INDEX(AT_Weapons!$K$1:$K$301,H74,1),0)</f>
        <v>225</v>
      </c>
      <c r="K74" s="21" cm="1">
        <f t="array" ref="K74">INDEX(AT_Weapons!$AS$1:$AS$301,D74,1)+INDEX(AT_Weapons!$AS$1:$AS$301,F74,1)+IF(H74&gt;0,INDEX(AT_Weapons!$AS$1:$AS$301,H74,1),0)</f>
        <v>1.5999999999999999</v>
      </c>
      <c r="L74" s="21" cm="1">
        <f t="array" ref="L74">INDEX(AT_Weapons!$AU$1:$AU$301,D74,1)+INDEX(AT_Weapons!$AU$1:$AU$301,F74,1)+IF(H74&gt;0,INDEX(AT_Weapons!$AU$1:$AU$301,H74,1),0)</f>
        <v>2.4944444444444445</v>
      </c>
      <c r="M74" s="21" cm="1">
        <f t="array" ref="M74">(INDEX(AT_Weapons!$AV$1:$AV$438,D74,1)+INDEX(AT_Weapons!$AV$1:$AV$438,F74,1)+IF(H74&gt;0,INDEX(AT_Weapons!$AV$1:$AV$438,H74,1),0))/COUNTA(D74,F74,H74)</f>
        <v>11.333333333333334</v>
      </c>
      <c r="N74" s="21" t="str">
        <f t="shared" si="7"/>
        <v>1.6 : 1</v>
      </c>
      <c r="O74" s="21" cm="1">
        <f t="array" ref="O74">INDEX(AT_Chassis!$DV$1:$DV$54,A74)/21*(310/J74)*3</f>
        <v>1.6323900088308747</v>
      </c>
      <c r="P74" s="28">
        <v>1</v>
      </c>
      <c r="Q74" s="21">
        <f t="shared" si="8"/>
        <v>2.6118240141293994</v>
      </c>
      <c r="R74" s="21">
        <f t="shared" si="9"/>
        <v>1.1608106729463998</v>
      </c>
      <c r="S74" s="21">
        <f t="shared" si="10"/>
        <v>4.0719061886947934</v>
      </c>
      <c r="T74" s="21">
        <f t="shared" si="11"/>
        <v>1.8097360838643526</v>
      </c>
      <c r="U74" s="26">
        <f t="shared" si="12"/>
        <v>5.5488615055425612</v>
      </c>
      <c r="V74" s="26">
        <f t="shared" si="13"/>
        <v>2.4661606691300273</v>
      </c>
    </row>
    <row r="75" spans="1:22" x14ac:dyDescent="0.3">
      <c r="A75">
        <v>34</v>
      </c>
      <c r="B75" t="str" cm="1">
        <f t="array" ref="B75">INDEX(AT_Chassis!$A$1:$A$37,Summary!$A75,1)</f>
        <v>Ghostkeel</v>
      </c>
      <c r="C75" t="s">
        <v>357</v>
      </c>
      <c r="D75">
        <v>253</v>
      </c>
      <c r="E75" t="str" cm="1">
        <f t="array" ref="E75">IF(COUNTA(D75)&gt;0,INDEX(AT_Weapons!$A$1:$A$301,Summary!D75,1),"No Weapon")</f>
        <v>Fusion gun</v>
      </c>
      <c r="F75">
        <v>254</v>
      </c>
      <c r="G75" t="str" cm="1">
        <f t="array" ref="G75">IF(COUNTA(F75)&gt;0,INDEX(AT_Weapons!$A$1:$A$301,Summary!F75,1),"No Weapon")</f>
        <v>Fusion Collider</v>
      </c>
      <c r="I75" t="str" cm="1">
        <f t="array" ref="I75">IF(COUNTA(H75)&gt;0,INDEX(AT_Weapons!$A$1:$A$301,Summary!H75,1),"No Weapon")</f>
        <v>No Weapon</v>
      </c>
      <c r="J75" cm="1">
        <f t="array" ref="J75">INDEX(AT_Chassis!$M$1:$M$37,A75,1)+INDEX(AT_Weapons!$K$1:$K$301,D75,1)+INDEX(AT_Weapons!$K$1:$K$301,F75,1)+IF(H75&gt;0,INDEX(AT_Weapons!$K$1:$K$301,H75,1),0)</f>
        <v>35</v>
      </c>
      <c r="K75" s="21" cm="1">
        <f t="array" ref="K75">INDEX(AT_Weapons!$AS$1:$AS$301,D75,1)+INDEX(AT_Weapons!$AS$1:$AS$301,F75,1)+IF(H75&gt;0,INDEX(AT_Weapons!$AS$1:$AS$301,H75,1),0)</f>
        <v>0.12222222222222223</v>
      </c>
      <c r="L75" s="21" cm="1">
        <f t="array" ref="L75">INDEX(AT_Weapons!$AU$1:$AU$301,D75,1)+INDEX(AT_Weapons!$AU$1:$AU$301,F75,1)+IF(H75&gt;0,INDEX(AT_Weapons!$AU$1:$AU$301,H75,1),0)</f>
        <v>0.27999999999999997</v>
      </c>
      <c r="M75" s="21" cm="1">
        <f t="array" ref="M75">(INDEX(AT_Weapons!$AV$1:$AV$438,D75,1)+INDEX(AT_Weapons!$AV$1:$AV$438,F75,1)+IF(H75&gt;0,INDEX(AT_Weapons!$AV$1:$AV$438,H75,1),0))/COUNTA(D75,F75,H75)</f>
        <v>11</v>
      </c>
      <c r="N75" s="21" t="str">
        <f t="shared" si="7"/>
        <v>2.3 : 1</v>
      </c>
      <c r="O75" s="21" cm="1">
        <f t="array" ref="O75">INDEX(AT_Chassis!$DV$1:$DV$54,A75)/21*(310/J75)*3</f>
        <v>2.1985518034783795</v>
      </c>
      <c r="P75" s="28">
        <v>1</v>
      </c>
      <c r="Q75" s="21">
        <f t="shared" si="8"/>
        <v>0.26871188709180194</v>
      </c>
      <c r="R75" s="21">
        <f t="shared" si="9"/>
        <v>0.76774824883371984</v>
      </c>
      <c r="S75" s="21">
        <f t="shared" si="10"/>
        <v>0.61559450497394619</v>
      </c>
      <c r="T75" s="21">
        <f t="shared" si="11"/>
        <v>1.7588414427827035</v>
      </c>
      <c r="U75" s="26">
        <f t="shared" si="12"/>
        <v>0.75119054014414155</v>
      </c>
      <c r="V75" s="26">
        <f t="shared" si="13"/>
        <v>2.146258686126119</v>
      </c>
    </row>
    <row r="76" spans="1:22" x14ac:dyDescent="0.3">
      <c r="A76">
        <v>35</v>
      </c>
      <c r="B76" t="str" cm="1">
        <f t="array" ref="B76">INDEX(AT_Chassis!$A$1:$A$37,Summary!$A76,1)</f>
        <v>Riptide</v>
      </c>
      <c r="C76" t="s">
        <v>357</v>
      </c>
      <c r="D76">
        <v>238</v>
      </c>
      <c r="E76" t="str" cm="1">
        <f t="array" ref="E76">IF(COUNTA(D76)&gt;0,INDEX(AT_Weapons!$A$1:$A$301,Summary!D76,1),"No Weapon")</f>
        <v>Heavy Burst Cannon</v>
      </c>
      <c r="F76">
        <v>235</v>
      </c>
      <c r="G76" t="str" cm="1">
        <f t="array" ref="G76">IF(COUNTA(F76)&gt;0,INDEX(AT_Weapons!$A$1:$A$301,Summary!F76,1),"No Weapon")</f>
        <v>Burst Cannon</v>
      </c>
      <c r="I76" t="str" cm="1">
        <f t="array" ref="I76">IF(COUNTA(H76)&gt;0,INDEX(AT_Weapons!$A$1:$A$301,Summary!H76,1),"No Weapon")</f>
        <v>No Weapon</v>
      </c>
      <c r="J76" cm="1">
        <f t="array" ref="J76">INDEX(AT_Chassis!$M$1:$M$37,A76,1)+INDEX(AT_Weapons!$K$1:$K$301,D76,1)+INDEX(AT_Weapons!$K$1:$K$301,F76,1)+IF(H76&gt;0,INDEX(AT_Weapons!$K$1:$K$301,H76,1),0)</f>
        <v>25</v>
      </c>
      <c r="K76" s="21" cm="1">
        <f t="array" ref="K76">INDEX(AT_Weapons!$AS$1:$AS$301,D76,1)+INDEX(AT_Weapons!$AS$1:$AS$301,F76,1)+IF(H76&gt;0,INDEX(AT_Weapons!$AS$1:$AS$301,H76,1),0)</f>
        <v>0.57037037037037042</v>
      </c>
      <c r="L76" s="21" cm="1">
        <f t="array" ref="L76">INDEX(AT_Weapons!$AU$1:$AU$301,D76,1)+INDEX(AT_Weapons!$AU$1:$AU$301,F76,1)+IF(H76&gt;0,INDEX(AT_Weapons!$AU$1:$AU$301,H76,1),0)</f>
        <v>0.30246913580246909</v>
      </c>
      <c r="M76" s="21" cm="1">
        <f t="array" ref="M76">(INDEX(AT_Weapons!$AV$1:$AV$438,D76,1)+INDEX(AT_Weapons!$AV$1:$AV$438,F76,1)+IF(H76&gt;0,INDEX(AT_Weapons!$AV$1:$AV$438,H76,1),0))/COUNTA(D76,F76,H76)</f>
        <v>11</v>
      </c>
      <c r="N76" s="21" t="str">
        <f t="shared" si="7"/>
        <v>0.5 : 1</v>
      </c>
      <c r="O76" s="21" cm="1">
        <f t="array" ref="O76">INDEX(AT_Chassis!$DV$1:$DV$54,A76)/21*(310/J76)*3</f>
        <v>4.616958787304597</v>
      </c>
      <c r="P76" s="28">
        <v>1</v>
      </c>
      <c r="Q76" s="21">
        <f t="shared" si="8"/>
        <v>2.6333764934996591</v>
      </c>
      <c r="R76" s="21">
        <f t="shared" si="9"/>
        <v>10.533505973998636</v>
      </c>
      <c r="S76" s="21">
        <f t="shared" si="10"/>
        <v>1.3964875344316372</v>
      </c>
      <c r="T76" s="21">
        <f t="shared" si="11"/>
        <v>5.5859501377265488</v>
      </c>
      <c r="U76" s="26">
        <f t="shared" si="12"/>
        <v>2.3786891850815297</v>
      </c>
      <c r="V76" s="26">
        <f t="shared" si="13"/>
        <v>9.5147567403261188</v>
      </c>
    </row>
    <row r="77" spans="1:22" x14ac:dyDescent="0.3">
      <c r="A77">
        <v>36</v>
      </c>
      <c r="B77" t="str" cm="1">
        <f t="array" ref="B77">INDEX(AT_Chassis!$A$1:$A$37,Summary!$A77,1)</f>
        <v>Stormsurge</v>
      </c>
      <c r="C77" t="s">
        <v>357</v>
      </c>
      <c r="D77">
        <v>210</v>
      </c>
      <c r="E77" t="str" cm="1">
        <f t="array" ref="E77">IF(COUNTA(D77)&gt;0,INDEX(AT_Weapons!$A$1:$A$301,Summary!D77,1),"No Weapon")</f>
        <v>Phantom Pulsar</v>
      </c>
      <c r="F77">
        <v>210</v>
      </c>
      <c r="G77" t="str" cm="1">
        <f t="array" ref="G77">IF(COUNTA(F77)&gt;0,INDEX(AT_Weapons!$A$1:$A$301,Summary!F77,1),"No Weapon")</f>
        <v>Phantom Pulsar</v>
      </c>
      <c r="H77">
        <v>211</v>
      </c>
      <c r="I77" t="str" cm="1">
        <f t="array" ref="I77">IF(COUNTA(H77)&gt;0,INDEX(AT_Weapons!$A$1:$A$301,Summary!H77,1),"No Weapon")</f>
        <v>Voidstorm ML</v>
      </c>
      <c r="J77" cm="1">
        <f t="array" ref="J77">INDEX(AT_Chassis!$M$1:$M$37,A77,1)+INDEX(AT_Weapons!$K$1:$K$301,D77,1)+INDEX(AT_Weapons!$K$1:$K$301,F77,1)+IF(H77&gt;0,INDEX(AT_Weapons!$K$1:$K$301,H77,1),0)</f>
        <v>165</v>
      </c>
      <c r="K77" s="21" cm="1">
        <f t="array" ref="K77">INDEX(AT_Weapons!$AS$1:$AS$301,D77,1)+INDEX(AT_Weapons!$AS$1:$AS$301,F77,1)+IF(H77&gt;0,INDEX(AT_Weapons!$AS$1:$AS$301,H77,1),0)</f>
        <v>2.6111111111111112</v>
      </c>
      <c r="L77" s="21" cm="1">
        <f t="array" ref="L77">INDEX(AT_Weapons!$AU$1:$AU$301,D77,1)+INDEX(AT_Weapons!$AU$1:$AU$301,F77,1)+IF(H77&gt;0,INDEX(AT_Weapons!$AU$1:$AU$301,H77,1),0)</f>
        <v>5.5555555555555554</v>
      </c>
      <c r="M77" s="21" cm="1">
        <f t="array" ref="M77">(INDEX(AT_Weapons!$AV$1:$AV$438,D77,1)+INDEX(AT_Weapons!$AV$1:$AV$438,F77,1)+IF(H77&gt;0,INDEX(AT_Weapons!$AV$1:$AV$438,H77,1),0))/COUNTA(D77,F77,H77)</f>
        <v>10.333333333333334</v>
      </c>
      <c r="N77" s="21" t="str">
        <f t="shared" si="7"/>
        <v>2.1 : 1</v>
      </c>
      <c r="O77" s="21" cm="1">
        <f t="array" ref="O77">INDEX(AT_Chassis!$DV$1:$DV$54,A77)/21*(310/J77)*3</f>
        <v>1.1658986836627772</v>
      </c>
      <c r="P77" s="28">
        <v>1</v>
      </c>
      <c r="Q77" s="21">
        <f t="shared" si="8"/>
        <v>3.044291007341696</v>
      </c>
      <c r="R77" s="21">
        <f t="shared" si="9"/>
        <v>1.8450248529343611</v>
      </c>
      <c r="S77" s="21">
        <f t="shared" si="10"/>
        <v>6.4772149092376505</v>
      </c>
      <c r="T77" s="21">
        <f t="shared" si="11"/>
        <v>3.9255847934773636</v>
      </c>
      <c r="U77" s="26">
        <f t="shared" si="12"/>
        <v>6.9894676097811042</v>
      </c>
      <c r="V77" s="26">
        <f t="shared" si="13"/>
        <v>4.2360409756249116</v>
      </c>
    </row>
    <row r="78" spans="1:22" x14ac:dyDescent="0.3">
      <c r="A78">
        <v>37</v>
      </c>
      <c r="B78" t="str" cm="1">
        <f t="array" ref="B78">INDEX(AT_Chassis!$A$1:$A$37,Summary!$A78,1)</f>
        <v>Ta'unar</v>
      </c>
      <c r="C78" t="s">
        <v>357</v>
      </c>
      <c r="D78">
        <v>250</v>
      </c>
      <c r="E78" t="str" cm="1">
        <f t="array" ref="E78">IF(COUNTA(D78)&gt;0,INDEX(AT_Weapons!$A$1:$A$301,Summary!D78,1),"No Weapon")</f>
        <v>Ion Cannon Array</v>
      </c>
      <c r="F78">
        <v>245</v>
      </c>
      <c r="G78" t="str" cm="1">
        <f t="array" ref="G78">IF(COUNTA(F78)&gt;0,INDEX(AT_Weapons!$A$1:$A$301,Summary!F78,1),"No Weapon")</f>
        <v>Twin Nexus Missile System</v>
      </c>
      <c r="H78">
        <v>255</v>
      </c>
      <c r="I78" t="str" cm="1">
        <f t="array" ref="I78">IF(COUNTA(H78)&gt;0,INDEX(AT_Weapons!$A$1:$A$301,Summary!H78,1),"No Weapon")</f>
        <v>Fusion Eradicator</v>
      </c>
      <c r="J78" cm="1">
        <f t="array" ref="J78">INDEX(AT_Chassis!$M$1:$M$37,A78,1)+INDEX(AT_Weapons!$K$1:$K$301,D78,1)+INDEX(AT_Weapons!$K$1:$K$301,F78,1)+IF(H78&gt;0,INDEX(AT_Weapons!$K$1:$K$301,H78,1),0)</f>
        <v>165</v>
      </c>
      <c r="K78" s="21" cm="1">
        <f t="array" ref="K78">INDEX(AT_Weapons!$AS$1:$AS$301,D78,1)+INDEX(AT_Weapons!$AS$1:$AS$301,F78,1)+IF(H78&gt;0,INDEX(AT_Weapons!$AS$1:$AS$301,H78,1),0)</f>
        <v>2.7388888888888889</v>
      </c>
      <c r="L78" s="21" cm="1">
        <f t="array" ref="L78">INDEX(AT_Weapons!$AU$1:$AU$301,D78,1)+INDEX(AT_Weapons!$AU$1:$AU$301,F78,1)+IF(H78&gt;0,INDEX(AT_Weapons!$AU$1:$AU$301,H78,1),0)</f>
        <v>3.0088888888888885</v>
      </c>
      <c r="M78" s="21" cm="1">
        <f t="array" ref="M78">(INDEX(AT_Weapons!$AV$1:$AV$438,D78,1)+INDEX(AT_Weapons!$AV$1:$AV$438,F78,1)+IF(H78&gt;0,INDEX(AT_Weapons!$AV$1:$AV$438,H78,1),0))/COUNTA(D78,F78,H78)</f>
        <v>11</v>
      </c>
      <c r="N78" s="21" t="str">
        <f t="shared" si="7"/>
        <v>1.1 : 1</v>
      </c>
      <c r="O78" s="21" cm="1">
        <f t="array" ref="O78">INDEX(AT_Chassis!$DV$1:$DV$54,A78)/21*(310/J78)*3</f>
        <v>2.9426333443386987</v>
      </c>
      <c r="P78" s="28">
        <v>1</v>
      </c>
      <c r="Q78" s="21">
        <f t="shared" si="8"/>
        <v>8.0595457708832132</v>
      </c>
      <c r="R78" s="21">
        <f t="shared" si="9"/>
        <v>4.8845731944746751</v>
      </c>
      <c r="S78" s="21">
        <f t="shared" si="10"/>
        <v>8.8540567738546621</v>
      </c>
      <c r="T78" s="21">
        <f t="shared" si="11"/>
        <v>5.3660950144573709</v>
      </c>
      <c r="U78" s="26">
        <f t="shared" si="12"/>
        <v>12.202552532114941</v>
      </c>
      <c r="V78" s="26">
        <f t="shared" si="13"/>
        <v>7.3954863830999642</v>
      </c>
    </row>
  </sheetData>
  <hyperlinks>
    <hyperlink ref="A69" r:id="rId1" xr:uid="{B5D169A8-5C57-4F65-AE07-E4CFD1D0EAFA}"/>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1191F-9A8C-4DF9-86D3-7B7343B10D81}">
  <dimension ref="A1:DW45"/>
  <sheetViews>
    <sheetView zoomScaleNormal="100" workbookViewId="0">
      <pane xSplit="1" ySplit="1" topLeftCell="B2" activePane="bottomRight" state="frozen"/>
      <selection pane="topRight" activeCell="B1" sqref="B1"/>
      <selection pane="bottomLeft" activeCell="A2" sqref="A2"/>
      <selection pane="bottomRight" activeCell="C21" sqref="C21"/>
    </sheetView>
  </sheetViews>
  <sheetFormatPr defaultRowHeight="14.4" x14ac:dyDescent="0.3"/>
  <cols>
    <col min="1" max="1" width="22" customWidth="1"/>
    <col min="2" max="3" width="2.6640625" customWidth="1"/>
    <col min="4" max="4" width="4.109375" bestFit="1" customWidth="1"/>
    <col min="5" max="5" width="4.5546875" bestFit="1" customWidth="1"/>
    <col min="6" max="12" width="2.6640625" customWidth="1"/>
    <col min="13" max="13" width="5.21875" customWidth="1"/>
    <col min="14" max="16" width="2.6640625" customWidth="1"/>
    <col min="17" max="17" width="2.77734375" customWidth="1"/>
    <col min="18" max="44" width="2.6640625" customWidth="1"/>
    <col min="45" max="47" width="3" bestFit="1" customWidth="1"/>
    <col min="48" max="48" width="3" style="41" bestFit="1" customWidth="1"/>
    <col min="49" max="66" width="2.6640625" customWidth="1"/>
    <col min="67" max="69" width="3" bestFit="1" customWidth="1"/>
    <col min="70" max="70" width="2.6640625" style="41" customWidth="1"/>
    <col min="71" max="84" width="2.6640625" customWidth="1"/>
    <col min="85" max="87" width="3" bestFit="1" customWidth="1"/>
    <col min="88" max="88" width="2.6640625" style="41" customWidth="1"/>
    <col min="89" max="102" width="2.6640625" customWidth="1"/>
    <col min="103" max="105" width="3" bestFit="1" customWidth="1"/>
    <col min="106" max="106" width="2.6640625" style="41" customWidth="1"/>
    <col min="107" max="118" width="2.6640625" customWidth="1"/>
    <col min="119" max="119" width="5" customWidth="1"/>
    <col min="120" max="120" width="8.5546875" customWidth="1"/>
    <col min="121" max="121" width="6.6640625" customWidth="1"/>
    <col min="122" max="122" width="5" customWidth="1"/>
    <col min="123" max="123" width="4.77734375" customWidth="1"/>
    <col min="124" max="124" width="5" customWidth="1"/>
    <col min="125" max="125" width="5.77734375" customWidth="1"/>
    <col min="126" max="126" width="5.88671875" customWidth="1"/>
  </cols>
  <sheetData>
    <row r="1" spans="1:127" ht="74.55" customHeight="1" x14ac:dyDescent="0.3">
      <c r="A1" t="s">
        <v>1</v>
      </c>
      <c r="B1" s="1" t="s">
        <v>10</v>
      </c>
      <c r="C1" s="1" t="s">
        <v>9</v>
      </c>
      <c r="D1" s="1" t="s">
        <v>12</v>
      </c>
      <c r="E1" s="1" t="s">
        <v>13</v>
      </c>
      <c r="F1" s="1" t="s">
        <v>15</v>
      </c>
      <c r="G1" s="1" t="s">
        <v>14</v>
      </c>
      <c r="H1" s="1" t="s">
        <v>11</v>
      </c>
      <c r="I1" s="1" t="s">
        <v>16</v>
      </c>
      <c r="J1" s="1" t="s">
        <v>17</v>
      </c>
      <c r="K1" s="1" t="s">
        <v>114</v>
      </c>
      <c r="L1" s="1" t="s">
        <v>115</v>
      </c>
      <c r="M1" s="1" t="s">
        <v>113</v>
      </c>
      <c r="N1" s="1" t="s">
        <v>102</v>
      </c>
      <c r="O1" s="1" t="s">
        <v>655</v>
      </c>
      <c r="P1" s="1" t="s">
        <v>656</v>
      </c>
      <c r="Q1" s="1" t="s">
        <v>657</v>
      </c>
      <c r="R1" s="1" t="s">
        <v>18</v>
      </c>
      <c r="S1" s="1" t="s">
        <v>19</v>
      </c>
      <c r="T1" s="1" t="s">
        <v>20</v>
      </c>
      <c r="U1" s="1" t="s">
        <v>21</v>
      </c>
      <c r="V1" s="1" t="s">
        <v>22</v>
      </c>
      <c r="W1" s="1" t="s">
        <v>23</v>
      </c>
      <c r="X1" s="1" t="s">
        <v>24</v>
      </c>
      <c r="Y1" s="1" t="s">
        <v>25</v>
      </c>
      <c r="Z1" s="1" t="s">
        <v>33</v>
      </c>
      <c r="AA1" s="1" t="s">
        <v>34</v>
      </c>
      <c r="AB1" s="1" t="s">
        <v>35</v>
      </c>
      <c r="AC1" s="1" t="s">
        <v>36</v>
      </c>
      <c r="AD1" s="1" t="s">
        <v>609</v>
      </c>
      <c r="AE1" s="1" t="s">
        <v>117</v>
      </c>
      <c r="AF1" s="1" t="s">
        <v>37</v>
      </c>
      <c r="AG1" s="1" t="s">
        <v>38</v>
      </c>
      <c r="AH1" s="1" t="s">
        <v>39</v>
      </c>
      <c r="AI1" s="1" t="s">
        <v>40</v>
      </c>
      <c r="AJ1" s="1" t="s">
        <v>41</v>
      </c>
      <c r="AK1" s="1" t="s">
        <v>42</v>
      </c>
      <c r="AL1" s="1" t="s">
        <v>43</v>
      </c>
      <c r="AM1" s="1" t="s">
        <v>44</v>
      </c>
      <c r="AN1" s="1" t="s">
        <v>45</v>
      </c>
      <c r="AO1" s="1" t="s">
        <v>46</v>
      </c>
      <c r="AP1" s="1" t="s">
        <v>47</v>
      </c>
      <c r="AQ1" s="1" t="s">
        <v>48</v>
      </c>
      <c r="AR1" s="1" t="s">
        <v>120</v>
      </c>
      <c r="AS1" s="1" t="s">
        <v>164</v>
      </c>
      <c r="AT1" s="1" t="s">
        <v>165</v>
      </c>
      <c r="AU1" s="1" t="s">
        <v>166</v>
      </c>
      <c r="AV1" s="40" t="s">
        <v>605</v>
      </c>
      <c r="AW1" s="1" t="s">
        <v>49</v>
      </c>
      <c r="AX1" s="1" t="s">
        <v>50</v>
      </c>
      <c r="AY1" s="1" t="s">
        <v>51</v>
      </c>
      <c r="AZ1" s="1" t="s">
        <v>52</v>
      </c>
      <c r="BA1" s="1" t="s">
        <v>53</v>
      </c>
      <c r="BB1" s="1" t="s">
        <v>54</v>
      </c>
      <c r="BC1" s="1" t="s">
        <v>55</v>
      </c>
      <c r="BD1" s="1" t="s">
        <v>56</v>
      </c>
      <c r="BE1" s="1" t="s">
        <v>57</v>
      </c>
      <c r="BF1" s="1" t="s">
        <v>58</v>
      </c>
      <c r="BG1" s="1" t="s">
        <v>855</v>
      </c>
      <c r="BH1" s="1" t="s">
        <v>856</v>
      </c>
      <c r="BI1" s="1" t="s">
        <v>857</v>
      </c>
      <c r="BJ1" s="1" t="s">
        <v>59</v>
      </c>
      <c r="BK1" s="1" t="s">
        <v>60</v>
      </c>
      <c r="BL1" s="1" t="s">
        <v>61</v>
      </c>
      <c r="BM1" s="1" t="s">
        <v>553</v>
      </c>
      <c r="BN1" s="1" t="s">
        <v>121</v>
      </c>
      <c r="BO1" s="1" t="s">
        <v>167</v>
      </c>
      <c r="BP1" s="1" t="s">
        <v>168</v>
      </c>
      <c r="BQ1" s="1" t="s">
        <v>169</v>
      </c>
      <c r="BR1" s="40" t="s">
        <v>602</v>
      </c>
      <c r="BS1" s="1" t="s">
        <v>62</v>
      </c>
      <c r="BT1" s="1" t="s">
        <v>63</v>
      </c>
      <c r="BU1" s="1" t="s">
        <v>64</v>
      </c>
      <c r="BV1" s="1" t="s">
        <v>65</v>
      </c>
      <c r="BW1" s="1" t="s">
        <v>66</v>
      </c>
      <c r="BX1" s="1" t="s">
        <v>67</v>
      </c>
      <c r="BY1" s="1" t="s">
        <v>68</v>
      </c>
      <c r="BZ1" s="1" t="s">
        <v>69</v>
      </c>
      <c r="CA1" s="1" t="s">
        <v>70</v>
      </c>
      <c r="CB1" s="1" t="s">
        <v>72</v>
      </c>
      <c r="CC1" s="1" t="s">
        <v>73</v>
      </c>
      <c r="CD1" s="1" t="s">
        <v>74</v>
      </c>
      <c r="CE1" s="1" t="s">
        <v>554</v>
      </c>
      <c r="CF1" s="1" t="s">
        <v>122</v>
      </c>
      <c r="CG1" s="1" t="s">
        <v>170</v>
      </c>
      <c r="CH1" s="1" t="s">
        <v>171</v>
      </c>
      <c r="CI1" s="1" t="s">
        <v>172</v>
      </c>
      <c r="CJ1" s="40" t="s">
        <v>603</v>
      </c>
      <c r="CK1" s="1" t="s">
        <v>75</v>
      </c>
      <c r="CL1" s="1" t="s">
        <v>76</v>
      </c>
      <c r="CM1" s="1" t="s">
        <v>77</v>
      </c>
      <c r="CN1" s="1" t="s">
        <v>78</v>
      </c>
      <c r="CO1" s="1" t="s">
        <v>79</v>
      </c>
      <c r="CP1" s="1" t="s">
        <v>80</v>
      </c>
      <c r="CQ1" s="1" t="s">
        <v>81</v>
      </c>
      <c r="CR1" s="1" t="s">
        <v>82</v>
      </c>
      <c r="CS1" s="1" t="s">
        <v>83</v>
      </c>
      <c r="CT1" s="1" t="s">
        <v>85</v>
      </c>
      <c r="CU1" s="1" t="s">
        <v>86</v>
      </c>
      <c r="CV1" s="1" t="s">
        <v>87</v>
      </c>
      <c r="CW1" s="1" t="s">
        <v>556</v>
      </c>
      <c r="CX1" s="1" t="s">
        <v>461</v>
      </c>
      <c r="CY1" s="1" t="s">
        <v>462</v>
      </c>
      <c r="CZ1" s="1" t="s">
        <v>463</v>
      </c>
      <c r="DA1" s="1" t="s">
        <v>464</v>
      </c>
      <c r="DB1" s="40" t="s">
        <v>604</v>
      </c>
      <c r="DC1" s="1" t="s">
        <v>88</v>
      </c>
      <c r="DD1" s="1" t="s">
        <v>89</v>
      </c>
      <c r="DE1" s="1" t="s">
        <v>90</v>
      </c>
      <c r="DF1" s="1" t="s">
        <v>91</v>
      </c>
      <c r="DG1" s="1" t="s">
        <v>92</v>
      </c>
      <c r="DH1" s="1" t="s">
        <v>93</v>
      </c>
      <c r="DI1" s="1" t="s">
        <v>94</v>
      </c>
      <c r="DJ1" s="1" t="s">
        <v>95</v>
      </c>
      <c r="DK1" s="1" t="s">
        <v>96</v>
      </c>
      <c r="DL1" s="1" t="s">
        <v>98</v>
      </c>
      <c r="DM1" s="1" t="s">
        <v>99</v>
      </c>
      <c r="DN1" s="1" t="s">
        <v>100</v>
      </c>
      <c r="DO1" s="22" t="s">
        <v>370</v>
      </c>
      <c r="DP1" s="1" t="s">
        <v>606</v>
      </c>
      <c r="DQ1" s="1" t="s">
        <v>373</v>
      </c>
      <c r="DR1" s="1" t="s">
        <v>371</v>
      </c>
      <c r="DS1" s="1" t="s">
        <v>374</v>
      </c>
      <c r="DT1" s="1" t="s">
        <v>371</v>
      </c>
      <c r="DU1" s="23" t="s">
        <v>382</v>
      </c>
      <c r="DV1" s="23" t="s">
        <v>614</v>
      </c>
      <c r="DW1" s="1"/>
    </row>
    <row r="2" spans="1:127" x14ac:dyDescent="0.3">
      <c r="A2" t="s">
        <v>0</v>
      </c>
      <c r="B2">
        <v>6</v>
      </c>
      <c r="C2">
        <v>5</v>
      </c>
      <c r="D2">
        <v>8</v>
      </c>
      <c r="E2">
        <v>12</v>
      </c>
      <c r="F2">
        <v>3</v>
      </c>
      <c r="G2">
        <v>5</v>
      </c>
      <c r="H2">
        <v>3</v>
      </c>
      <c r="I2">
        <v>4</v>
      </c>
      <c r="J2">
        <v>2</v>
      </c>
      <c r="M2">
        <v>180</v>
      </c>
      <c r="N2" t="s">
        <v>103</v>
      </c>
      <c r="R2" t="s">
        <v>26</v>
      </c>
      <c r="S2" t="s">
        <v>27</v>
      </c>
      <c r="T2" t="s">
        <v>28</v>
      </c>
      <c r="U2" t="s">
        <v>28</v>
      </c>
      <c r="V2" t="s">
        <v>31</v>
      </c>
      <c r="AD2" t="s">
        <v>158</v>
      </c>
      <c r="AE2">
        <v>3</v>
      </c>
      <c r="AF2">
        <v>3</v>
      </c>
      <c r="AG2">
        <v>4</v>
      </c>
      <c r="AH2">
        <v>4</v>
      </c>
      <c r="AI2" t="s">
        <v>103</v>
      </c>
      <c r="AR2">
        <v>5</v>
      </c>
      <c r="AS2">
        <v>11</v>
      </c>
      <c r="AT2">
        <v>14</v>
      </c>
      <c r="AU2">
        <v>16</v>
      </c>
      <c r="AV2" s="41">
        <v>0</v>
      </c>
      <c r="AW2">
        <v>0</v>
      </c>
      <c r="AX2">
        <v>1</v>
      </c>
      <c r="AY2">
        <v>2</v>
      </c>
      <c r="AZ2" s="42">
        <v>3</v>
      </c>
      <c r="BJ2" t="s">
        <v>104</v>
      </c>
      <c r="BK2" t="s">
        <v>105</v>
      </c>
      <c r="BL2" t="s">
        <v>106</v>
      </c>
      <c r="BN2">
        <v>5</v>
      </c>
      <c r="BO2">
        <v>10</v>
      </c>
      <c r="BP2">
        <v>12</v>
      </c>
      <c r="BQ2">
        <v>14</v>
      </c>
      <c r="BR2" s="41">
        <v>0</v>
      </c>
      <c r="BS2">
        <v>0</v>
      </c>
      <c r="BT2">
        <v>1</v>
      </c>
      <c r="BU2">
        <v>1</v>
      </c>
      <c r="BV2">
        <v>2</v>
      </c>
      <c r="BW2" s="42">
        <v>3</v>
      </c>
      <c r="CB2" t="s">
        <v>107</v>
      </c>
      <c r="CC2" t="s">
        <v>108</v>
      </c>
      <c r="CD2" t="s">
        <v>109</v>
      </c>
      <c r="CF2">
        <v>5</v>
      </c>
      <c r="CG2">
        <v>10</v>
      </c>
      <c r="CH2">
        <v>13</v>
      </c>
      <c r="CI2">
        <v>15</v>
      </c>
      <c r="CJ2" s="41">
        <v>0</v>
      </c>
      <c r="CK2">
        <v>0</v>
      </c>
      <c r="CL2">
        <v>1</v>
      </c>
      <c r="CM2">
        <v>1</v>
      </c>
      <c r="CN2">
        <v>2</v>
      </c>
      <c r="CO2" s="42">
        <v>3</v>
      </c>
      <c r="CT2" t="s">
        <v>110</v>
      </c>
      <c r="CU2" t="s">
        <v>111</v>
      </c>
      <c r="CV2" t="s">
        <v>112</v>
      </c>
      <c r="DO2">
        <f t="shared" ref="DO2:DO19" si="0">IF(AD2="V",1.5*(COUNTA(AF2:AQ2)-1)+((COUNTA(AV2:BM2)+COUNTA(BR2:CE2)+COUNTA(CJ2:CW2)+COUNTA(DB2:DN2)))*2/3,
IF(AD2="H",(COUNTA(AV2:BM2)+COUNTA(BR2:CE2)+COUNTA(CJ2:CW2)+COUNTA(DB2:DN2))*2/3*25/18,7/6*COUNTA(AV2:BE2)))</f>
        <v>21.833333333333332</v>
      </c>
      <c r="DP2" s="26">
        <f>(
(AS2-SUM(AV2:BE2)/COUNTA(AV2:BE2))*COUNTA(AV2:BE2)+ (AS2-3)*COUNTA(BJ2:BM2)+
IF(BO2&lt;&gt;"",(BO2-SUM(BR2:CA2)/COUNTA(BR2:CA2))*COUNTA(BR2:CA2),0)+ (BO2-3)*COUNTA(CB2:CE2)+
IF(CG2&lt;&gt;"",(CG2-SUM(CJ2:CS2)/COUNTA(CJ2:CS2))*COUNTA(CJ2:CS2),0)+ (CG2-3)*COUNTA(CT2:CW2)+
IF(CY2&lt;&gt;"",(CY2-SUM(DB2:DK2)/COUNTA(DB2:DK2))*COUNTA(DB2:DK2),0)+ IF(DL2&lt;&gt;"",(CY2-3)*COUNTA(DL2:DN2),0)
)/
(COUNTA(AV2:BM2)+COUNTA(BR2:CE2)+COUNTA(CJ2:CW2)+COUNTA(DB2:DN2))</f>
        <v>8.5</v>
      </c>
      <c r="DQ2" s="44">
        <f>1.5*COUNTA(AG2:AQ2)+(COUNTA(AV2:BE2)/2+COUNTA(BJ2:BM2)+COUNTA(BR2:CA2)/2+COUNTA(CB2:CE2)+COUNTA(CJ2:CS2)/2+COUNTA(CT2:CW2))/2</f>
        <v>13.25</v>
      </c>
      <c r="DR2" s="44">
        <f>(AT2+BP2+CH2)/3</f>
        <v>13</v>
      </c>
      <c r="DS2" s="44">
        <f>1.5*COUNTA(AG2:AQ2)+(COUNTA(AV2:BE2)/2+COUNTA(BR2:CA2)/2+COUNTA(CJ2:CS2)/2)/2</f>
        <v>8.75</v>
      </c>
      <c r="DT2" s="44">
        <f>(AU2+BQ2+CI2)/3</f>
        <v>15</v>
      </c>
      <c r="DU2">
        <f>1+(DP2-9.277)/2.111</f>
        <v>0.63192799621032725</v>
      </c>
      <c r="DV2" s="21">
        <f>DO2*(1+(DP2-9.277)/2.111)</f>
        <v>13.797094583925478</v>
      </c>
    </row>
    <row r="3" spans="1:127" x14ac:dyDescent="0.3">
      <c r="A3" t="s">
        <v>372</v>
      </c>
      <c r="B3">
        <v>6</v>
      </c>
      <c r="C3">
        <v>4</v>
      </c>
      <c r="D3">
        <v>7</v>
      </c>
      <c r="E3">
        <v>11</v>
      </c>
      <c r="F3">
        <v>2</v>
      </c>
      <c r="G3">
        <v>4</v>
      </c>
      <c r="H3">
        <v>3</v>
      </c>
      <c r="I3">
        <v>4</v>
      </c>
      <c r="J3">
        <v>3</v>
      </c>
      <c r="M3">
        <v>210</v>
      </c>
      <c r="R3" t="s">
        <v>26</v>
      </c>
      <c r="S3" t="s">
        <v>26</v>
      </c>
      <c r="T3" t="s">
        <v>27</v>
      </c>
      <c r="U3" t="s">
        <v>28</v>
      </c>
      <c r="V3" t="s">
        <v>28</v>
      </c>
      <c r="W3" t="s">
        <v>31</v>
      </c>
      <c r="AD3" t="s">
        <v>158</v>
      </c>
      <c r="AE3">
        <v>2</v>
      </c>
      <c r="AF3">
        <v>4</v>
      </c>
      <c r="AG3">
        <v>4</v>
      </c>
      <c r="AH3" t="s">
        <v>103</v>
      </c>
      <c r="AR3">
        <v>5</v>
      </c>
      <c r="AS3">
        <v>11</v>
      </c>
      <c r="AT3">
        <v>14</v>
      </c>
      <c r="AU3">
        <v>16</v>
      </c>
      <c r="AV3" s="41">
        <v>0</v>
      </c>
      <c r="AW3">
        <v>0</v>
      </c>
      <c r="AX3">
        <v>1</v>
      </c>
      <c r="AY3">
        <v>2</v>
      </c>
      <c r="AZ3" s="42">
        <v>3</v>
      </c>
      <c r="BJ3" t="s">
        <v>104</v>
      </c>
      <c r="BK3" t="s">
        <v>105</v>
      </c>
      <c r="BL3" t="s">
        <v>106</v>
      </c>
      <c r="BN3">
        <v>5</v>
      </c>
      <c r="BO3">
        <v>10</v>
      </c>
      <c r="BP3">
        <v>13</v>
      </c>
      <c r="BQ3">
        <v>15</v>
      </c>
      <c r="BR3" s="41">
        <v>0</v>
      </c>
      <c r="BS3">
        <v>0</v>
      </c>
      <c r="BT3">
        <v>1</v>
      </c>
      <c r="BU3">
        <v>1</v>
      </c>
      <c r="BV3">
        <v>2</v>
      </c>
      <c r="BW3" s="42">
        <v>3</v>
      </c>
      <c r="CB3" t="s">
        <v>107</v>
      </c>
      <c r="CC3" t="s">
        <v>108</v>
      </c>
      <c r="CD3" t="s">
        <v>109</v>
      </c>
      <c r="CF3">
        <v>5</v>
      </c>
      <c r="CG3">
        <v>11</v>
      </c>
      <c r="CH3">
        <v>13</v>
      </c>
      <c r="CI3">
        <v>14</v>
      </c>
      <c r="CJ3" s="41">
        <v>0</v>
      </c>
      <c r="CK3">
        <v>0</v>
      </c>
      <c r="CL3">
        <v>1</v>
      </c>
      <c r="CM3">
        <v>1</v>
      </c>
      <c r="CN3">
        <v>2</v>
      </c>
      <c r="CO3" s="42">
        <v>3</v>
      </c>
      <c r="CT3" t="s">
        <v>110</v>
      </c>
      <c r="CU3" t="s">
        <v>111</v>
      </c>
      <c r="CV3" t="s">
        <v>112</v>
      </c>
      <c r="DO3">
        <f t="shared" si="0"/>
        <v>20.333333333333332</v>
      </c>
      <c r="DP3" s="26">
        <f t="shared" ref="DP3:DP10" si="1">(
(AS3-SUM(AV3:BE3)/COUNTA(AV3:BE3))*COUNTA(AV3:BE3)+ (AS3-3)*COUNTA(BJ3:BM3)+
IF(BO3&lt;&gt;"",(BO3-SUM(BR3:CA3)/COUNTA(BR3:CA3))*COUNTA(BR3:CA3),0)+ (BO3-3)*COUNTA(CB3:CE3)+
IF(CG3&lt;&gt;"",(CG3-SUM(CJ3:CS3)/COUNTA(CJ3:CS3))*COUNTA(CJ3:CS3),0)+ (CG3-3)*COUNTA(CT3:CW3)+
IF(CY3&lt;&gt;"",(CY3-SUM(DB3:DK3)/COUNTA(DB3:DK3))*COUNTA(DB3:DK3),0)+ IF(DL3&lt;&gt;"",(CY3-3)*COUNTA(DL3:DN3),0)
)/
(COUNTA(AV3:BM3)+COUNTA(BR3:CE3)+COUNTA(CJ3:CW3)+COUNTA(DB3:DN3))</f>
        <v>8.8461538461538467</v>
      </c>
      <c r="DQ3" s="44">
        <f t="shared" ref="DQ3:DQ10" si="2">1.5*COUNTA(AG3:AQ3)+(COUNTA(AV3:BE3)/2+COUNTA(BJ3:BM3)+COUNTA(BR3:CA3)/2+COUNTA(CB3:CE3)+COUNTA(CJ3:CS3)/2+COUNTA(CT3:CW3))/2</f>
        <v>11.75</v>
      </c>
      <c r="DR3" s="44">
        <f t="shared" ref="DR3:DR10" si="3">(AT3+BP3+CH3)/3</f>
        <v>13.333333333333334</v>
      </c>
      <c r="DS3" s="44">
        <f t="shared" ref="DS3:DS15" si="4">1.5*COUNTA(AG3:AQ3)+(COUNTA(AV3:BE3)/2+COUNTA(BR3:CA3)/2+COUNTA(CJ3:CS3)/2)/2</f>
        <v>7.25</v>
      </c>
      <c r="DT3" s="44">
        <f t="shared" ref="DT3:DT9" si="5">(AU3+BQ3+CI3)/3</f>
        <v>15</v>
      </c>
      <c r="DU3">
        <f t="shared" ref="DU3:DU15" si="6">1+(DP3-9.277)/2.111</f>
        <v>0.79590423787486853</v>
      </c>
      <c r="DV3" s="21">
        <f>DO3*(1+(DP3-9.277)/2.111)</f>
        <v>16.183386170122326</v>
      </c>
    </row>
    <row r="4" spans="1:127" x14ac:dyDescent="0.3">
      <c r="A4" t="s">
        <v>2</v>
      </c>
      <c r="B4">
        <v>8</v>
      </c>
      <c r="C4">
        <v>4</v>
      </c>
      <c r="D4">
        <v>6</v>
      </c>
      <c r="E4">
        <v>9</v>
      </c>
      <c r="F4">
        <v>2</v>
      </c>
      <c r="G4">
        <v>3</v>
      </c>
      <c r="H4">
        <v>3</v>
      </c>
      <c r="I4">
        <v>4</v>
      </c>
      <c r="J4">
        <v>3</v>
      </c>
      <c r="M4">
        <v>250</v>
      </c>
      <c r="R4" t="s">
        <v>26</v>
      </c>
      <c r="S4" t="s">
        <v>26</v>
      </c>
      <c r="T4" t="s">
        <v>27</v>
      </c>
      <c r="U4" t="s">
        <v>27</v>
      </c>
      <c r="V4" t="s">
        <v>28</v>
      </c>
      <c r="W4" t="s">
        <v>31</v>
      </c>
      <c r="AD4" t="s">
        <v>158</v>
      </c>
      <c r="AE4">
        <v>4</v>
      </c>
      <c r="AF4">
        <v>3</v>
      </c>
      <c r="AG4">
        <v>3</v>
      </c>
      <c r="AH4">
        <v>4</v>
      </c>
      <c r="AI4">
        <v>4</v>
      </c>
      <c r="AJ4" t="s">
        <v>103</v>
      </c>
      <c r="AR4">
        <v>6</v>
      </c>
      <c r="AS4">
        <v>11</v>
      </c>
      <c r="AT4">
        <v>14</v>
      </c>
      <c r="AU4">
        <v>16</v>
      </c>
      <c r="AV4" s="41">
        <v>0</v>
      </c>
      <c r="AW4">
        <v>0</v>
      </c>
      <c r="AX4">
        <v>0</v>
      </c>
      <c r="AY4">
        <v>1</v>
      </c>
      <c r="AZ4">
        <v>2</v>
      </c>
      <c r="BA4" s="42">
        <v>3</v>
      </c>
      <c r="BJ4" t="s">
        <v>104</v>
      </c>
      <c r="BK4" t="s">
        <v>105</v>
      </c>
      <c r="BL4" t="s">
        <v>106</v>
      </c>
      <c r="BN4">
        <v>6</v>
      </c>
      <c r="BO4">
        <v>10</v>
      </c>
      <c r="BP4">
        <v>13</v>
      </c>
      <c r="BQ4">
        <v>15</v>
      </c>
      <c r="BR4" s="41">
        <v>0</v>
      </c>
      <c r="BS4">
        <v>0</v>
      </c>
      <c r="BT4">
        <v>0</v>
      </c>
      <c r="BU4">
        <v>1</v>
      </c>
      <c r="BV4">
        <v>1</v>
      </c>
      <c r="BW4">
        <v>2</v>
      </c>
      <c r="BX4" s="42">
        <v>3</v>
      </c>
      <c r="CB4" t="s">
        <v>107</v>
      </c>
      <c r="CC4" t="s">
        <v>108</v>
      </c>
      <c r="CD4" t="s">
        <v>109</v>
      </c>
      <c r="CF4">
        <v>6</v>
      </c>
      <c r="CG4">
        <v>11</v>
      </c>
      <c r="CH4">
        <v>13</v>
      </c>
      <c r="CI4">
        <v>15</v>
      </c>
      <c r="CJ4" s="41">
        <v>0</v>
      </c>
      <c r="CK4">
        <v>0</v>
      </c>
      <c r="CL4">
        <v>1</v>
      </c>
      <c r="CM4">
        <v>1</v>
      </c>
      <c r="CN4">
        <v>2</v>
      </c>
      <c r="CO4" s="42">
        <v>3</v>
      </c>
      <c r="CT4" t="s">
        <v>110</v>
      </c>
      <c r="CU4" t="s">
        <v>111</v>
      </c>
      <c r="CV4" t="s">
        <v>112</v>
      </c>
      <c r="DO4">
        <f t="shared" si="0"/>
        <v>24.666666666666668</v>
      </c>
      <c r="DP4" s="26">
        <f t="shared" si="1"/>
        <v>8.9642857142857135</v>
      </c>
      <c r="DQ4" s="44">
        <f t="shared" si="2"/>
        <v>15.25</v>
      </c>
      <c r="DR4" s="44">
        <f t="shared" si="3"/>
        <v>13.333333333333334</v>
      </c>
      <c r="DS4" s="44">
        <f t="shared" si="4"/>
        <v>10.75</v>
      </c>
      <c r="DT4" s="44">
        <f t="shared" si="5"/>
        <v>15.333333333333334</v>
      </c>
      <c r="DU4">
        <f t="shared" si="6"/>
        <v>0.85186438383975094</v>
      </c>
      <c r="DV4" s="21">
        <f>DO4*(1+(DP4-9.277)/2.111)</f>
        <v>21.012654801380524</v>
      </c>
    </row>
    <row r="5" spans="1:127" x14ac:dyDescent="0.3">
      <c r="A5" t="s">
        <v>3</v>
      </c>
      <c r="B5">
        <v>9</v>
      </c>
      <c r="C5">
        <v>4</v>
      </c>
      <c r="D5">
        <v>5</v>
      </c>
      <c r="E5">
        <v>7</v>
      </c>
      <c r="F5">
        <v>2</v>
      </c>
      <c r="G5">
        <v>3</v>
      </c>
      <c r="H5">
        <v>3</v>
      </c>
      <c r="I5">
        <v>5</v>
      </c>
      <c r="J5">
        <v>4</v>
      </c>
      <c r="K5" t="s">
        <v>116</v>
      </c>
      <c r="M5">
        <v>325</v>
      </c>
      <c r="R5" t="s">
        <v>26</v>
      </c>
      <c r="S5" t="s">
        <v>26</v>
      </c>
      <c r="T5" t="s">
        <v>27</v>
      </c>
      <c r="U5" t="s">
        <v>27</v>
      </c>
      <c r="V5" t="s">
        <v>28</v>
      </c>
      <c r="W5" t="s">
        <v>28</v>
      </c>
      <c r="X5" t="s">
        <v>31</v>
      </c>
      <c r="AD5" t="s">
        <v>158</v>
      </c>
      <c r="AE5">
        <v>5</v>
      </c>
      <c r="AF5">
        <v>3</v>
      </c>
      <c r="AG5">
        <v>3</v>
      </c>
      <c r="AH5">
        <v>4</v>
      </c>
      <c r="AI5">
        <v>4</v>
      </c>
      <c r="AJ5">
        <v>4</v>
      </c>
      <c r="AK5" t="s">
        <v>103</v>
      </c>
      <c r="AR5">
        <v>7</v>
      </c>
      <c r="AS5">
        <v>12</v>
      </c>
      <c r="AT5">
        <v>15</v>
      </c>
      <c r="AU5">
        <v>17</v>
      </c>
      <c r="AV5" s="41">
        <v>0</v>
      </c>
      <c r="AW5">
        <v>0</v>
      </c>
      <c r="AX5">
        <v>0</v>
      </c>
      <c r="AY5">
        <v>1</v>
      </c>
      <c r="AZ5">
        <v>1</v>
      </c>
      <c r="BA5">
        <v>2</v>
      </c>
      <c r="BB5" s="42">
        <v>3</v>
      </c>
      <c r="BJ5" t="s">
        <v>104</v>
      </c>
      <c r="BK5" t="s">
        <v>105</v>
      </c>
      <c r="BL5" t="s">
        <v>106</v>
      </c>
      <c r="BN5">
        <v>7</v>
      </c>
      <c r="BO5">
        <v>11</v>
      </c>
      <c r="BP5">
        <v>13</v>
      </c>
      <c r="BQ5">
        <v>16</v>
      </c>
      <c r="BR5" s="41">
        <v>0</v>
      </c>
      <c r="BS5">
        <v>0</v>
      </c>
      <c r="BT5">
        <v>0</v>
      </c>
      <c r="BU5">
        <v>1</v>
      </c>
      <c r="BV5">
        <v>1</v>
      </c>
      <c r="BW5">
        <v>2</v>
      </c>
      <c r="BX5">
        <v>2</v>
      </c>
      <c r="BY5" s="42">
        <v>3</v>
      </c>
      <c r="CB5" t="s">
        <v>107</v>
      </c>
      <c r="CC5" t="s">
        <v>108</v>
      </c>
      <c r="CD5" t="s">
        <v>109</v>
      </c>
      <c r="CF5">
        <v>7</v>
      </c>
      <c r="CG5">
        <v>11</v>
      </c>
      <c r="CH5">
        <v>14</v>
      </c>
      <c r="CI5">
        <v>16</v>
      </c>
      <c r="CJ5" s="41">
        <v>0</v>
      </c>
      <c r="CK5">
        <v>0</v>
      </c>
      <c r="CL5">
        <v>0</v>
      </c>
      <c r="CM5">
        <v>1</v>
      </c>
      <c r="CN5">
        <v>1</v>
      </c>
      <c r="CO5">
        <v>2</v>
      </c>
      <c r="CP5">
        <v>2</v>
      </c>
      <c r="CQ5" s="42">
        <v>3</v>
      </c>
      <c r="CT5" t="s">
        <v>110</v>
      </c>
      <c r="CU5" t="s">
        <v>111</v>
      </c>
      <c r="CV5" t="s">
        <v>112</v>
      </c>
      <c r="DO5">
        <f>IF(AD5="V",1.5*(COUNTA(AF5:AQ5)-1)+((COUNTA(AV5:BM5)+COUNTA(BR5:CE5)+COUNTA(CJ5:CW5)+COUNTA(DB5:DN5)))*2/3,
IF(AD5="H",(COUNTA(AV5:BM5)+COUNTA(BR5:CE5)+COUNTA(CJ5:CW5)+COUNTA(DB5:DN5))*2/3*25/18,7/6*COUNTA(AV5:BE5)))</f>
        <v>28.833333333333332</v>
      </c>
      <c r="DP5" s="26">
        <f t="shared" si="1"/>
        <v>9.6875</v>
      </c>
      <c r="DQ5" s="44">
        <f t="shared" si="2"/>
        <v>17.75</v>
      </c>
      <c r="DR5" s="44">
        <f t="shared" si="3"/>
        <v>14</v>
      </c>
      <c r="DS5" s="44">
        <f t="shared" si="4"/>
        <v>13.25</v>
      </c>
      <c r="DT5" s="44">
        <f t="shared" si="5"/>
        <v>16.333333333333332</v>
      </c>
      <c r="DU5">
        <f t="shared" si="6"/>
        <v>1.1944576030317389</v>
      </c>
      <c r="DV5" s="21">
        <f>DO5*(1+(DP5-9.277)/2.111)</f>
        <v>34.440194220748467</v>
      </c>
    </row>
    <row r="6" spans="1:127" x14ac:dyDescent="0.3">
      <c r="A6" t="s">
        <v>4</v>
      </c>
      <c r="B6">
        <v>10</v>
      </c>
      <c r="C6">
        <v>3</v>
      </c>
      <c r="D6">
        <v>4</v>
      </c>
      <c r="E6">
        <v>6</v>
      </c>
      <c r="F6">
        <v>1</v>
      </c>
      <c r="G6">
        <v>2</v>
      </c>
      <c r="H6">
        <v>3</v>
      </c>
      <c r="I6">
        <v>5</v>
      </c>
      <c r="J6">
        <v>4</v>
      </c>
      <c r="K6" t="s">
        <v>116</v>
      </c>
      <c r="M6">
        <v>385</v>
      </c>
      <c r="R6" t="s">
        <v>26</v>
      </c>
      <c r="S6" t="s">
        <v>26</v>
      </c>
      <c r="T6" t="s">
        <v>27</v>
      </c>
      <c r="U6" t="s">
        <v>27</v>
      </c>
      <c r="V6" t="s">
        <v>28</v>
      </c>
      <c r="W6" t="s">
        <v>28</v>
      </c>
      <c r="X6" t="s">
        <v>31</v>
      </c>
      <c r="AD6" t="s">
        <v>158</v>
      </c>
      <c r="AE6">
        <v>5</v>
      </c>
      <c r="AF6">
        <v>3</v>
      </c>
      <c r="AG6">
        <v>3</v>
      </c>
      <c r="AH6">
        <v>3</v>
      </c>
      <c r="AI6">
        <v>4</v>
      </c>
      <c r="AJ6">
        <v>4</v>
      </c>
      <c r="AK6" t="s">
        <v>103</v>
      </c>
      <c r="AR6">
        <v>7</v>
      </c>
      <c r="AS6">
        <v>13</v>
      </c>
      <c r="AT6">
        <v>15</v>
      </c>
      <c r="AU6">
        <v>17</v>
      </c>
      <c r="AV6" s="41">
        <v>0</v>
      </c>
      <c r="AW6">
        <v>0</v>
      </c>
      <c r="AX6">
        <v>0</v>
      </c>
      <c r="AY6">
        <v>1</v>
      </c>
      <c r="AZ6">
        <v>1</v>
      </c>
      <c r="BA6">
        <v>2</v>
      </c>
      <c r="BB6" s="42">
        <v>3</v>
      </c>
      <c r="BJ6" t="s">
        <v>104</v>
      </c>
      <c r="BK6" t="s">
        <v>105</v>
      </c>
      <c r="BL6" t="s">
        <v>106</v>
      </c>
      <c r="BN6">
        <v>7</v>
      </c>
      <c r="BO6">
        <v>12</v>
      </c>
      <c r="BP6">
        <v>14</v>
      </c>
      <c r="BQ6">
        <v>16</v>
      </c>
      <c r="BR6" s="41">
        <v>0</v>
      </c>
      <c r="BS6">
        <v>0</v>
      </c>
      <c r="BT6">
        <v>0</v>
      </c>
      <c r="BU6">
        <v>1</v>
      </c>
      <c r="BV6">
        <v>1</v>
      </c>
      <c r="BW6">
        <v>2</v>
      </c>
      <c r="BX6">
        <v>2</v>
      </c>
      <c r="BY6" s="42">
        <v>3</v>
      </c>
      <c r="CB6" t="s">
        <v>107</v>
      </c>
      <c r="CC6" t="s">
        <v>108</v>
      </c>
      <c r="CD6" t="s">
        <v>109</v>
      </c>
      <c r="CF6">
        <v>7</v>
      </c>
      <c r="CG6">
        <v>13</v>
      </c>
      <c r="CH6">
        <v>15</v>
      </c>
      <c r="CI6">
        <v>17</v>
      </c>
      <c r="CJ6" s="41">
        <v>0</v>
      </c>
      <c r="CK6">
        <v>0</v>
      </c>
      <c r="CL6">
        <v>0</v>
      </c>
      <c r="CM6">
        <v>1</v>
      </c>
      <c r="CN6">
        <v>1</v>
      </c>
      <c r="CO6">
        <v>2</v>
      </c>
      <c r="CP6">
        <v>2</v>
      </c>
      <c r="CQ6" s="42">
        <v>3</v>
      </c>
      <c r="CT6" t="s">
        <v>110</v>
      </c>
      <c r="CU6" t="s">
        <v>111</v>
      </c>
      <c r="CV6" t="s">
        <v>112</v>
      </c>
      <c r="DO6">
        <f t="shared" si="0"/>
        <v>28.833333333333332</v>
      </c>
      <c r="DP6" s="26">
        <f t="shared" si="1"/>
        <v>11.03125</v>
      </c>
      <c r="DQ6" s="44">
        <f t="shared" si="2"/>
        <v>17.75</v>
      </c>
      <c r="DR6" s="44">
        <f t="shared" si="3"/>
        <v>14.666666666666666</v>
      </c>
      <c r="DS6" s="44">
        <f t="shared" si="4"/>
        <v>13.25</v>
      </c>
      <c r="DT6" s="44">
        <f t="shared" si="5"/>
        <v>16.666666666666668</v>
      </c>
      <c r="DU6">
        <f t="shared" si="6"/>
        <v>1.8310042633822836</v>
      </c>
      <c r="DV6" s="21">
        <f t="shared" ref="DV6:DV15" si="7">DO6*(1+(DP6-9.277)/2.111)</f>
        <v>52.793956260855843</v>
      </c>
    </row>
    <row r="7" spans="1:127" x14ac:dyDescent="0.3">
      <c r="A7" t="s">
        <v>5</v>
      </c>
      <c r="B7">
        <v>10</v>
      </c>
      <c r="C7">
        <v>3</v>
      </c>
      <c r="D7">
        <v>4</v>
      </c>
      <c r="E7">
        <v>6</v>
      </c>
      <c r="F7">
        <v>1</v>
      </c>
      <c r="G7">
        <v>2</v>
      </c>
      <c r="H7">
        <v>3</v>
      </c>
      <c r="I7">
        <v>5</v>
      </c>
      <c r="J7">
        <v>4</v>
      </c>
      <c r="K7" t="s">
        <v>116</v>
      </c>
      <c r="M7">
        <v>685</v>
      </c>
      <c r="R7" t="s">
        <v>26</v>
      </c>
      <c r="S7" t="s">
        <v>26</v>
      </c>
      <c r="T7" t="s">
        <v>27</v>
      </c>
      <c r="U7" t="s">
        <v>27</v>
      </c>
      <c r="V7" t="s">
        <v>28</v>
      </c>
      <c r="W7" t="s">
        <v>28</v>
      </c>
      <c r="X7" t="s">
        <v>31</v>
      </c>
      <c r="AD7" t="s">
        <v>158</v>
      </c>
      <c r="AE7">
        <v>5</v>
      </c>
      <c r="AF7">
        <v>3</v>
      </c>
      <c r="AG7">
        <v>3</v>
      </c>
      <c r="AH7">
        <v>3</v>
      </c>
      <c r="AI7">
        <v>4</v>
      </c>
      <c r="AJ7">
        <v>4</v>
      </c>
      <c r="AK7" t="s">
        <v>103</v>
      </c>
      <c r="AR7">
        <v>7</v>
      </c>
      <c r="AS7">
        <v>13</v>
      </c>
      <c r="AT7">
        <v>15</v>
      </c>
      <c r="AU7">
        <v>17</v>
      </c>
      <c r="AV7" s="41">
        <v>0</v>
      </c>
      <c r="AW7">
        <v>0</v>
      </c>
      <c r="AX7">
        <v>0</v>
      </c>
      <c r="AY7">
        <v>1</v>
      </c>
      <c r="AZ7">
        <v>1</v>
      </c>
      <c r="BA7">
        <v>2</v>
      </c>
      <c r="BB7" s="42">
        <v>3</v>
      </c>
      <c r="BJ7" t="s">
        <v>104</v>
      </c>
      <c r="BK7" t="s">
        <v>105</v>
      </c>
      <c r="BL7" t="s">
        <v>106</v>
      </c>
      <c r="BN7">
        <v>7</v>
      </c>
      <c r="BO7">
        <v>12</v>
      </c>
      <c r="BP7">
        <v>14</v>
      </c>
      <c r="BQ7">
        <v>16</v>
      </c>
      <c r="BR7" s="41">
        <v>0</v>
      </c>
      <c r="BS7">
        <v>0</v>
      </c>
      <c r="BT7">
        <v>0</v>
      </c>
      <c r="BU7">
        <v>1</v>
      </c>
      <c r="BV7">
        <v>1</v>
      </c>
      <c r="BW7">
        <v>2</v>
      </c>
      <c r="BX7">
        <v>2</v>
      </c>
      <c r="BY7" s="42">
        <v>3</v>
      </c>
      <c r="CB7" t="s">
        <v>107</v>
      </c>
      <c r="CC7" t="s">
        <v>108</v>
      </c>
      <c r="CD7" t="s">
        <v>109</v>
      </c>
      <c r="CF7">
        <v>7</v>
      </c>
      <c r="CG7">
        <v>13</v>
      </c>
      <c r="CH7">
        <v>15</v>
      </c>
      <c r="CI7">
        <v>17</v>
      </c>
      <c r="CJ7" s="41">
        <v>0</v>
      </c>
      <c r="CK7">
        <v>0</v>
      </c>
      <c r="CL7">
        <v>0</v>
      </c>
      <c r="CM7">
        <v>1</v>
      </c>
      <c r="CN7">
        <v>1</v>
      </c>
      <c r="CO7">
        <v>2</v>
      </c>
      <c r="CP7">
        <v>2</v>
      </c>
      <c r="CQ7" s="42">
        <v>3</v>
      </c>
      <c r="CT7" t="s">
        <v>110</v>
      </c>
      <c r="CU7" t="s">
        <v>111</v>
      </c>
      <c r="CV7" t="s">
        <v>112</v>
      </c>
      <c r="DO7">
        <f t="shared" si="0"/>
        <v>28.833333333333332</v>
      </c>
      <c r="DP7" s="26">
        <f t="shared" si="1"/>
        <v>11.03125</v>
      </c>
      <c r="DQ7" s="44">
        <f t="shared" si="2"/>
        <v>17.75</v>
      </c>
      <c r="DR7" s="44">
        <f t="shared" si="3"/>
        <v>14.666666666666666</v>
      </c>
      <c r="DS7" s="44">
        <f t="shared" si="4"/>
        <v>13.25</v>
      </c>
      <c r="DT7" s="44">
        <f t="shared" si="5"/>
        <v>16.666666666666668</v>
      </c>
      <c r="DU7">
        <f t="shared" si="6"/>
        <v>1.8310042633822836</v>
      </c>
      <c r="DV7" s="21">
        <f t="shared" si="7"/>
        <v>52.793956260855843</v>
      </c>
    </row>
    <row r="8" spans="1:127" x14ac:dyDescent="0.3">
      <c r="A8" t="s">
        <v>6</v>
      </c>
      <c r="B8">
        <v>12</v>
      </c>
      <c r="C8">
        <v>3</v>
      </c>
      <c r="D8">
        <v>4</v>
      </c>
      <c r="E8">
        <v>6</v>
      </c>
      <c r="F8">
        <v>1</v>
      </c>
      <c r="G8">
        <v>3</v>
      </c>
      <c r="H8">
        <v>3</v>
      </c>
      <c r="I8">
        <v>5</v>
      </c>
      <c r="J8">
        <v>6</v>
      </c>
      <c r="K8" t="s">
        <v>116</v>
      </c>
      <c r="M8">
        <v>850</v>
      </c>
      <c r="R8" t="s">
        <v>26</v>
      </c>
      <c r="S8" t="s">
        <v>26</v>
      </c>
      <c r="T8" t="s">
        <v>26</v>
      </c>
      <c r="U8" t="s">
        <v>27</v>
      </c>
      <c r="V8" t="s">
        <v>27</v>
      </c>
      <c r="W8" t="s">
        <v>28</v>
      </c>
      <c r="X8" t="s">
        <v>28</v>
      </c>
      <c r="Y8" t="s">
        <v>31</v>
      </c>
      <c r="AD8" t="s">
        <v>158</v>
      </c>
      <c r="AE8">
        <v>6</v>
      </c>
      <c r="AF8">
        <v>3</v>
      </c>
      <c r="AG8">
        <v>3</v>
      </c>
      <c r="AH8">
        <v>3</v>
      </c>
      <c r="AI8">
        <v>3</v>
      </c>
      <c r="AJ8">
        <v>4</v>
      </c>
      <c r="AK8">
        <v>4</v>
      </c>
      <c r="AL8" t="s">
        <v>103</v>
      </c>
      <c r="AR8">
        <v>9</v>
      </c>
      <c r="AS8">
        <v>13</v>
      </c>
      <c r="AT8">
        <v>16</v>
      </c>
      <c r="AU8">
        <v>17</v>
      </c>
      <c r="AV8" s="41">
        <v>0</v>
      </c>
      <c r="AW8">
        <v>0</v>
      </c>
      <c r="AX8">
        <v>0</v>
      </c>
      <c r="AY8">
        <v>0</v>
      </c>
      <c r="AZ8">
        <v>0</v>
      </c>
      <c r="BA8">
        <v>1</v>
      </c>
      <c r="BB8">
        <v>1</v>
      </c>
      <c r="BC8">
        <v>2</v>
      </c>
      <c r="BD8" s="42">
        <v>3</v>
      </c>
      <c r="BJ8" t="s">
        <v>104</v>
      </c>
      <c r="BK8" t="s">
        <v>104</v>
      </c>
      <c r="BL8" t="s">
        <v>105</v>
      </c>
      <c r="BM8" t="s">
        <v>106</v>
      </c>
      <c r="BN8">
        <v>8</v>
      </c>
      <c r="BO8">
        <v>13</v>
      </c>
      <c r="BP8">
        <v>14</v>
      </c>
      <c r="BQ8">
        <v>16</v>
      </c>
      <c r="BR8" s="41">
        <v>0</v>
      </c>
      <c r="BS8">
        <v>0</v>
      </c>
      <c r="BT8">
        <v>0</v>
      </c>
      <c r="BU8">
        <v>0</v>
      </c>
      <c r="BV8">
        <v>1</v>
      </c>
      <c r="BW8">
        <v>1</v>
      </c>
      <c r="BX8">
        <v>2</v>
      </c>
      <c r="BY8">
        <v>2</v>
      </c>
      <c r="BZ8" s="42">
        <v>3</v>
      </c>
      <c r="CB8" t="s">
        <v>107</v>
      </c>
      <c r="CC8" t="s">
        <v>107</v>
      </c>
      <c r="CD8" t="s">
        <v>108</v>
      </c>
      <c r="CE8" t="s">
        <v>109</v>
      </c>
      <c r="CF8">
        <v>8</v>
      </c>
      <c r="CG8">
        <v>13</v>
      </c>
      <c r="CH8">
        <v>16</v>
      </c>
      <c r="CI8">
        <v>17</v>
      </c>
      <c r="CJ8" s="41">
        <v>0</v>
      </c>
      <c r="CK8">
        <v>0</v>
      </c>
      <c r="CL8">
        <v>0</v>
      </c>
      <c r="CM8">
        <v>0</v>
      </c>
      <c r="CN8">
        <v>1</v>
      </c>
      <c r="CO8">
        <v>1</v>
      </c>
      <c r="CP8">
        <v>2</v>
      </c>
      <c r="CQ8">
        <v>2</v>
      </c>
      <c r="CR8" s="42">
        <v>3</v>
      </c>
      <c r="CT8" t="s">
        <v>110</v>
      </c>
      <c r="CU8" t="s">
        <v>110</v>
      </c>
      <c r="CV8" t="s">
        <v>111</v>
      </c>
      <c r="CW8" t="s">
        <v>112</v>
      </c>
      <c r="CY8">
        <v>12</v>
      </c>
      <c r="CZ8">
        <v>12</v>
      </c>
      <c r="DA8">
        <v>12</v>
      </c>
      <c r="DB8">
        <v>0</v>
      </c>
      <c r="DC8">
        <v>0</v>
      </c>
      <c r="DO8">
        <f t="shared" si="0"/>
        <v>36.333333333333329</v>
      </c>
      <c r="DP8" s="26">
        <f t="shared" si="1"/>
        <v>11.463414634146341</v>
      </c>
      <c r="DQ8" s="44">
        <f t="shared" si="2"/>
        <v>21.75</v>
      </c>
      <c r="DR8" s="44">
        <f t="shared" si="3"/>
        <v>15.333333333333334</v>
      </c>
      <c r="DS8" s="44">
        <f t="shared" si="4"/>
        <v>15.75</v>
      </c>
      <c r="DT8" s="44">
        <f t="shared" si="5"/>
        <v>16.666666666666668</v>
      </c>
      <c r="DU8">
        <f t="shared" si="6"/>
        <v>2.0357246016799344</v>
      </c>
      <c r="DV8" s="21">
        <f t="shared" si="7"/>
        <v>73.964660527704268</v>
      </c>
    </row>
    <row r="9" spans="1:127" x14ac:dyDescent="0.3">
      <c r="A9" t="s">
        <v>7</v>
      </c>
      <c r="B9">
        <v>12</v>
      </c>
      <c r="C9">
        <v>3</v>
      </c>
      <c r="D9">
        <v>4</v>
      </c>
      <c r="E9">
        <v>6</v>
      </c>
      <c r="F9">
        <v>1</v>
      </c>
      <c r="G9">
        <v>3</v>
      </c>
      <c r="H9">
        <v>3</v>
      </c>
      <c r="I9">
        <v>5</v>
      </c>
      <c r="J9">
        <v>6</v>
      </c>
      <c r="K9" t="s">
        <v>116</v>
      </c>
      <c r="M9">
        <v>850</v>
      </c>
      <c r="R9" t="s">
        <v>26</v>
      </c>
      <c r="S9" t="s">
        <v>26</v>
      </c>
      <c r="T9" t="s">
        <v>26</v>
      </c>
      <c r="U9" t="s">
        <v>27</v>
      </c>
      <c r="V9" t="s">
        <v>27</v>
      </c>
      <c r="W9" t="s">
        <v>28</v>
      </c>
      <c r="X9" t="s">
        <v>28</v>
      </c>
      <c r="Y9" t="s">
        <v>31</v>
      </c>
      <c r="AD9" t="s">
        <v>158</v>
      </c>
      <c r="AE9">
        <v>6</v>
      </c>
      <c r="AF9">
        <v>3</v>
      </c>
      <c r="AG9">
        <v>3</v>
      </c>
      <c r="AH9">
        <v>3</v>
      </c>
      <c r="AI9">
        <v>3</v>
      </c>
      <c r="AJ9">
        <v>4</v>
      </c>
      <c r="AK9">
        <v>4</v>
      </c>
      <c r="AL9" t="s">
        <v>103</v>
      </c>
      <c r="AR9">
        <v>9</v>
      </c>
      <c r="AS9">
        <v>13</v>
      </c>
      <c r="AT9">
        <v>16</v>
      </c>
      <c r="AU9">
        <v>17</v>
      </c>
      <c r="AV9" s="41">
        <v>0</v>
      </c>
      <c r="AW9">
        <v>0</v>
      </c>
      <c r="AX9">
        <v>0</v>
      </c>
      <c r="AY9">
        <v>0</v>
      </c>
      <c r="AZ9">
        <v>0</v>
      </c>
      <c r="BA9">
        <v>1</v>
      </c>
      <c r="BB9">
        <v>1</v>
      </c>
      <c r="BC9">
        <v>2</v>
      </c>
      <c r="BD9" s="42">
        <v>3</v>
      </c>
      <c r="BJ9" t="s">
        <v>104</v>
      </c>
      <c r="BK9" t="s">
        <v>104</v>
      </c>
      <c r="BL9" t="s">
        <v>105</v>
      </c>
      <c r="BM9" t="s">
        <v>106</v>
      </c>
      <c r="BN9">
        <v>8</v>
      </c>
      <c r="BO9">
        <v>13</v>
      </c>
      <c r="BP9">
        <v>14</v>
      </c>
      <c r="BQ9">
        <v>16</v>
      </c>
      <c r="BR9" s="41">
        <v>0</v>
      </c>
      <c r="BS9">
        <v>0</v>
      </c>
      <c r="BT9">
        <v>0</v>
      </c>
      <c r="BU9">
        <v>0</v>
      </c>
      <c r="BV9">
        <v>1</v>
      </c>
      <c r="BW9">
        <v>1</v>
      </c>
      <c r="BX9">
        <v>2</v>
      </c>
      <c r="BY9">
        <v>2</v>
      </c>
      <c r="BZ9" s="42">
        <v>3</v>
      </c>
      <c r="CB9" t="s">
        <v>107</v>
      </c>
      <c r="CC9" t="s">
        <v>107</v>
      </c>
      <c r="CD9" t="s">
        <v>108</v>
      </c>
      <c r="CE9" t="s">
        <v>109</v>
      </c>
      <c r="CF9">
        <v>8</v>
      </c>
      <c r="CG9">
        <v>13</v>
      </c>
      <c r="CH9">
        <v>16</v>
      </c>
      <c r="CI9">
        <v>17</v>
      </c>
      <c r="CJ9" s="41">
        <v>0</v>
      </c>
      <c r="CK9">
        <v>0</v>
      </c>
      <c r="CL9">
        <v>0</v>
      </c>
      <c r="CM9">
        <v>0</v>
      </c>
      <c r="CN9">
        <v>1</v>
      </c>
      <c r="CO9">
        <v>1</v>
      </c>
      <c r="CP9">
        <v>2</v>
      </c>
      <c r="CQ9">
        <v>2</v>
      </c>
      <c r="CR9" s="42">
        <v>3</v>
      </c>
      <c r="CT9" t="s">
        <v>110</v>
      </c>
      <c r="CU9" t="s">
        <v>110</v>
      </c>
      <c r="CV9" t="s">
        <v>111</v>
      </c>
      <c r="CW9" t="s">
        <v>112</v>
      </c>
      <c r="CY9">
        <v>12</v>
      </c>
      <c r="CZ9">
        <v>12</v>
      </c>
      <c r="DA9">
        <v>12</v>
      </c>
      <c r="DB9">
        <v>0</v>
      </c>
      <c r="DC9">
        <v>0</v>
      </c>
      <c r="DO9">
        <f t="shared" si="0"/>
        <v>36.333333333333329</v>
      </c>
      <c r="DP9" s="26">
        <f t="shared" si="1"/>
        <v>11.463414634146341</v>
      </c>
      <c r="DQ9" s="44">
        <f t="shared" si="2"/>
        <v>21.75</v>
      </c>
      <c r="DR9" s="44">
        <f t="shared" si="3"/>
        <v>15.333333333333334</v>
      </c>
      <c r="DS9" s="44">
        <f t="shared" si="4"/>
        <v>15.75</v>
      </c>
      <c r="DT9" s="44">
        <f t="shared" si="5"/>
        <v>16.666666666666668</v>
      </c>
      <c r="DU9">
        <f t="shared" si="6"/>
        <v>2.0357246016799344</v>
      </c>
      <c r="DV9" s="21">
        <f t="shared" si="7"/>
        <v>73.964660527704268</v>
      </c>
    </row>
    <row r="10" spans="1:127" x14ac:dyDescent="0.3">
      <c r="A10" t="s">
        <v>551</v>
      </c>
      <c r="B10">
        <v>14</v>
      </c>
      <c r="C10">
        <v>2</v>
      </c>
      <c r="D10">
        <v>4</v>
      </c>
      <c r="E10">
        <v>6</v>
      </c>
      <c r="F10">
        <v>1</v>
      </c>
      <c r="G10">
        <v>2</v>
      </c>
      <c r="H10">
        <v>3</v>
      </c>
      <c r="I10">
        <v>5</v>
      </c>
      <c r="J10">
        <v>7</v>
      </c>
      <c r="K10" t="s">
        <v>552</v>
      </c>
      <c r="M10">
        <v>1055</v>
      </c>
      <c r="R10" t="s">
        <v>26</v>
      </c>
      <c r="S10" t="s">
        <v>26</v>
      </c>
      <c r="T10" t="s">
        <v>26</v>
      </c>
      <c r="U10" t="s">
        <v>26</v>
      </c>
      <c r="V10" t="s">
        <v>27</v>
      </c>
      <c r="W10" t="s">
        <v>27</v>
      </c>
      <c r="X10" t="s">
        <v>27</v>
      </c>
      <c r="Y10" t="s">
        <v>28</v>
      </c>
      <c r="Z10" t="s">
        <v>28</v>
      </c>
      <c r="AA10" t="s">
        <v>31</v>
      </c>
      <c r="AD10" t="s">
        <v>158</v>
      </c>
      <c r="AE10">
        <v>7</v>
      </c>
      <c r="AF10">
        <v>3</v>
      </c>
      <c r="AG10">
        <v>3</v>
      </c>
      <c r="AH10">
        <v>3</v>
      </c>
      <c r="AI10">
        <v>3</v>
      </c>
      <c r="AJ10">
        <v>4</v>
      </c>
      <c r="AK10">
        <v>4</v>
      </c>
      <c r="AL10">
        <v>4</v>
      </c>
      <c r="AM10" t="s">
        <v>103</v>
      </c>
      <c r="AR10">
        <v>10</v>
      </c>
      <c r="AS10">
        <v>13</v>
      </c>
      <c r="AT10">
        <v>16</v>
      </c>
      <c r="AU10">
        <v>17</v>
      </c>
      <c r="AV10" s="41">
        <v>0</v>
      </c>
      <c r="AW10">
        <v>0</v>
      </c>
      <c r="AX10">
        <v>0</v>
      </c>
      <c r="AY10">
        <v>0</v>
      </c>
      <c r="AZ10">
        <v>0</v>
      </c>
      <c r="BA10">
        <v>1</v>
      </c>
      <c r="BB10">
        <v>1</v>
      </c>
      <c r="BC10">
        <v>2</v>
      </c>
      <c r="BD10">
        <v>2</v>
      </c>
      <c r="BE10" s="42">
        <v>3</v>
      </c>
      <c r="BF10" s="42"/>
      <c r="BG10" s="42"/>
      <c r="BH10" s="42"/>
      <c r="BI10" s="42"/>
      <c r="BJ10" t="s">
        <v>104</v>
      </c>
      <c r="BK10" t="s">
        <v>104</v>
      </c>
      <c r="BL10" t="s">
        <v>105</v>
      </c>
      <c r="BM10" t="s">
        <v>106</v>
      </c>
      <c r="BN10">
        <v>9</v>
      </c>
      <c r="BO10">
        <v>13</v>
      </c>
      <c r="BP10">
        <v>15</v>
      </c>
      <c r="BQ10">
        <v>17</v>
      </c>
      <c r="BR10" s="41">
        <v>0</v>
      </c>
      <c r="BS10">
        <v>0</v>
      </c>
      <c r="BT10">
        <v>0</v>
      </c>
      <c r="BU10">
        <v>0</v>
      </c>
      <c r="BV10">
        <v>0</v>
      </c>
      <c r="BW10">
        <v>1</v>
      </c>
      <c r="BX10">
        <v>1</v>
      </c>
      <c r="BY10">
        <v>2</v>
      </c>
      <c r="BZ10">
        <v>2</v>
      </c>
      <c r="CA10" s="42">
        <v>3</v>
      </c>
      <c r="CB10" t="s">
        <v>107</v>
      </c>
      <c r="CC10" t="s">
        <v>107</v>
      </c>
      <c r="CD10" t="s">
        <v>109</v>
      </c>
      <c r="CE10" t="s">
        <v>108</v>
      </c>
      <c r="CF10">
        <v>9</v>
      </c>
      <c r="CG10">
        <v>13</v>
      </c>
      <c r="CH10">
        <v>16</v>
      </c>
      <c r="CI10">
        <v>18</v>
      </c>
      <c r="CJ10" s="41">
        <v>0</v>
      </c>
      <c r="CK10">
        <v>0</v>
      </c>
      <c r="CL10">
        <v>0</v>
      </c>
      <c r="CM10">
        <v>0</v>
      </c>
      <c r="CN10">
        <v>1</v>
      </c>
      <c r="CO10">
        <v>1</v>
      </c>
      <c r="CP10">
        <v>1</v>
      </c>
      <c r="CQ10">
        <v>2</v>
      </c>
      <c r="CR10" s="42">
        <v>2</v>
      </c>
      <c r="CS10">
        <v>3</v>
      </c>
      <c r="CT10" t="s">
        <v>555</v>
      </c>
      <c r="CU10" t="s">
        <v>110</v>
      </c>
      <c r="CV10" t="s">
        <v>111</v>
      </c>
      <c r="CW10" t="s">
        <v>112</v>
      </c>
      <c r="CY10">
        <v>12</v>
      </c>
      <c r="CZ10">
        <v>12</v>
      </c>
      <c r="DA10">
        <v>12</v>
      </c>
      <c r="DB10">
        <v>0</v>
      </c>
      <c r="DC10">
        <v>0</v>
      </c>
      <c r="DD10">
        <v>0</v>
      </c>
      <c r="DO10">
        <f t="shared" si="0"/>
        <v>40.5</v>
      </c>
      <c r="DP10" s="26">
        <f t="shared" si="1"/>
        <v>11.511111111111111</v>
      </c>
      <c r="DQ10" s="44">
        <f t="shared" si="2"/>
        <v>24</v>
      </c>
      <c r="DR10" s="44">
        <f t="shared" si="3"/>
        <v>15.666666666666666</v>
      </c>
      <c r="DS10" s="44">
        <f t="shared" si="4"/>
        <v>18</v>
      </c>
      <c r="DT10" s="44">
        <f>(AU10+BQ10+CI10)/3</f>
        <v>17.333333333333332</v>
      </c>
      <c r="DU10">
        <f t="shared" si="6"/>
        <v>2.05831885888731</v>
      </c>
      <c r="DV10" s="21">
        <f t="shared" si="7"/>
        <v>83.36191378493605</v>
      </c>
    </row>
    <row r="11" spans="1:127" x14ac:dyDescent="0.3">
      <c r="DP11" s="26"/>
    </row>
    <row r="12" spans="1:127" x14ac:dyDescent="0.3">
      <c r="A12" t="s">
        <v>8</v>
      </c>
      <c r="B12">
        <v>2</v>
      </c>
      <c r="C12">
        <v>7</v>
      </c>
      <c r="D12">
        <v>11</v>
      </c>
      <c r="E12">
        <v>11</v>
      </c>
      <c r="H12">
        <v>4</v>
      </c>
      <c r="I12">
        <v>3</v>
      </c>
      <c r="M12">
        <v>25</v>
      </c>
      <c r="O12">
        <v>3</v>
      </c>
      <c r="P12">
        <v>9</v>
      </c>
      <c r="Q12">
        <v>10</v>
      </c>
      <c r="AD12" t="s">
        <v>124</v>
      </c>
      <c r="AS12">
        <v>9</v>
      </c>
      <c r="AT12">
        <v>11</v>
      </c>
      <c r="AU12">
        <v>14</v>
      </c>
      <c r="AV12" s="41">
        <v>0</v>
      </c>
      <c r="AW12">
        <v>0</v>
      </c>
      <c r="DO12">
        <f t="shared" si="0"/>
        <v>2.3333333333333335</v>
      </c>
      <c r="DP12" s="26">
        <f>(
(AS12-SUM(AV12:BE12)/COUNTA(AV12:BE12))*COUNTA(AV12:BE12)+ (AS12-3)*COUNTA(BJ12:BM12)+
IF(BO12&lt;&gt;"",(BO12-SUM(BR12:CA12)/COUNTA(BR12:CA12))*COUNTA(BR12:CA12),0)+ (BO12-3)*COUNTA(CB12:CE12)+
IF(CG12&lt;&gt;"",(CG12-SUM(CJ12:CS12)/COUNTA(CJ12:CS12))*COUNTA(CJ12:CS12),0)+ (CG12-3)*COUNTA(CT12:CW12)+
IF(CY12&lt;&gt;"",(CY12-SUM(DC12:DK12)/COUNTA(DC12:DK12))*COUNTA(DC12:DK12),0)+ IF(DL12&lt;&gt;"",(CY12-3)*COUNTA(DL12:DN12),0)
)/
(COUNTA(AV12:BM12)+COUNTA(BR12:CE12)+COUNTA(CJ12:CW12)+COUNTA(DC12:DN12))</f>
        <v>9</v>
      </c>
      <c r="DQ12" s="44">
        <f t="shared" ref="DQ12:DQ14" si="8">COUNTA(AV12:BI12)/2</f>
        <v>1</v>
      </c>
      <c r="DR12" s="44">
        <f>AT12</f>
        <v>11</v>
      </c>
      <c r="DS12" s="44">
        <f t="shared" si="4"/>
        <v>0.5</v>
      </c>
      <c r="DT12" s="44">
        <f>AU12</f>
        <v>14</v>
      </c>
      <c r="DU12">
        <f t="shared" si="6"/>
        <v>0.8687825675035532</v>
      </c>
      <c r="DV12" s="21">
        <f t="shared" si="7"/>
        <v>2.0271593241749577</v>
      </c>
    </row>
    <row r="13" spans="1:127" x14ac:dyDescent="0.3">
      <c r="A13" t="s">
        <v>118</v>
      </c>
      <c r="B13">
        <v>3</v>
      </c>
      <c r="C13">
        <v>4</v>
      </c>
      <c r="D13">
        <v>10</v>
      </c>
      <c r="E13">
        <v>10</v>
      </c>
      <c r="H13">
        <v>4</v>
      </c>
      <c r="I13">
        <v>3</v>
      </c>
      <c r="M13">
        <v>35</v>
      </c>
      <c r="O13">
        <v>3</v>
      </c>
      <c r="P13">
        <v>6</v>
      </c>
      <c r="Q13">
        <v>15</v>
      </c>
      <c r="AD13" t="s">
        <v>124</v>
      </c>
      <c r="AS13">
        <v>9</v>
      </c>
      <c r="AT13">
        <v>13</v>
      </c>
      <c r="AU13">
        <v>16</v>
      </c>
      <c r="AV13" s="41">
        <v>0</v>
      </c>
      <c r="AW13" s="54">
        <v>0</v>
      </c>
      <c r="AX13" s="54">
        <v>0</v>
      </c>
      <c r="AY13" s="42">
        <v>0</v>
      </c>
      <c r="DO13">
        <f t="shared" si="0"/>
        <v>4.666666666666667</v>
      </c>
      <c r="DP13" s="26">
        <f>(
(AS13-SUM(AV13:BE13)/COUNTA(AV13:BE13))*COUNTA(AV13:BE13)+ (AS13-3)*COUNTA(BJ13:BM13)+
IF(BO13&lt;&gt;"",(BO13-SUM(BR13:CA13)/COUNTA(BR13:CA13))*COUNTA(BR13:CA13),0)+ (BO13-3)*COUNTA(CB13:CE13)+
IF(CG13&lt;&gt;"",(CG13-SUM(CJ13:CS13)/COUNTA(CJ13:CS13))*COUNTA(CJ13:CS13),0)+ (CG13-3)*COUNTA(CT13:CW13)+
IF(CY13&lt;&gt;"",(CY13-SUM(DC13:DK13)/COUNTA(DC13:DK13))*COUNTA(DC13:DK13),0)+ IF(DL13&lt;&gt;"",(CY13-3)*COUNTA(DL13:DN13),0)
)/
(COUNTA(AV13:BM13)+COUNTA(BR13:CE13)+COUNTA(CJ13:CW13)+COUNTA(DC13:DN13))</f>
        <v>9</v>
      </c>
      <c r="DQ13" s="44">
        <f t="shared" si="8"/>
        <v>2</v>
      </c>
      <c r="DR13" s="44">
        <f t="shared" ref="DR13:DR15" si="9">AT13</f>
        <v>13</v>
      </c>
      <c r="DS13" s="44">
        <f t="shared" si="4"/>
        <v>1</v>
      </c>
      <c r="DT13" s="44">
        <f t="shared" ref="DT13:DT17" si="10">AU13</f>
        <v>16</v>
      </c>
      <c r="DU13">
        <f t="shared" si="6"/>
        <v>0.8687825675035532</v>
      </c>
      <c r="DV13" s="21">
        <f t="shared" si="7"/>
        <v>4.0543186483499154</v>
      </c>
    </row>
    <row r="14" spans="1:127" x14ac:dyDescent="0.3">
      <c r="A14" t="s">
        <v>645</v>
      </c>
      <c r="B14">
        <v>4</v>
      </c>
      <c r="C14">
        <v>5</v>
      </c>
      <c r="D14">
        <v>12</v>
      </c>
      <c r="E14">
        <v>12</v>
      </c>
      <c r="H14">
        <v>4</v>
      </c>
      <c r="I14">
        <v>3</v>
      </c>
      <c r="M14">
        <v>60</v>
      </c>
      <c r="O14">
        <v>2</v>
      </c>
      <c r="P14">
        <v>4</v>
      </c>
      <c r="Q14">
        <v>10</v>
      </c>
      <c r="AD14" t="s">
        <v>124</v>
      </c>
      <c r="AS14">
        <v>9</v>
      </c>
      <c r="AT14">
        <v>13</v>
      </c>
      <c r="AU14">
        <v>16</v>
      </c>
      <c r="AV14" s="41">
        <v>0</v>
      </c>
      <c r="AW14" s="55">
        <v>0</v>
      </c>
      <c r="AX14" s="53">
        <v>0</v>
      </c>
      <c r="AY14" s="53">
        <v>0</v>
      </c>
      <c r="AZ14" s="42">
        <v>0</v>
      </c>
      <c r="DO14">
        <f t="shared" si="0"/>
        <v>5.8333333333333339</v>
      </c>
      <c r="DP14" s="26">
        <f>(
(AS14-SUM(AV14:BE14)/COUNTA(AV14:BE14))*COUNTA(AV14:BE14)+ (AS14-3)*COUNTA(BJ14:BM14)+
IF(BO14&lt;&gt;"",(BO14-SUM(BR14:CA14)/COUNTA(BR14:CA14))*COUNTA(BR14:CA14),0)+ (BO14-3)*COUNTA(CB14:CE14)+
IF(CG14&lt;&gt;"",(CG14-SUM(CJ14:CS14)/COUNTA(CJ14:CS14))*COUNTA(CJ14:CS14),0)+ (CG14-3)*COUNTA(CT14:CW14)+
IF(CY14&lt;&gt;"",(CY14-SUM(DC14:DK14)/COUNTA(DC14:DK14))*COUNTA(DC14:DK14),0)+ IF(DL14&lt;&gt;"",(CY14-3)*COUNTA(DL14:DN14),0)
)/
(COUNTA(AV14:BM14)+COUNTA(BR14:CE14)+COUNTA(CJ14:CW14)+COUNTA(DC14:DN14))</f>
        <v>9</v>
      </c>
      <c r="DQ14" s="44">
        <f t="shared" si="8"/>
        <v>2.5</v>
      </c>
      <c r="DR14" s="44">
        <f t="shared" si="9"/>
        <v>13</v>
      </c>
      <c r="DS14" s="44">
        <f t="shared" si="4"/>
        <v>1.25</v>
      </c>
      <c r="DT14" s="44">
        <f t="shared" si="10"/>
        <v>16</v>
      </c>
      <c r="DU14">
        <f t="shared" si="6"/>
        <v>0.8687825675035532</v>
      </c>
      <c r="DV14" s="21">
        <f t="shared" si="7"/>
        <v>5.0678983104373945</v>
      </c>
    </row>
    <row r="15" spans="1:127" x14ac:dyDescent="0.3">
      <c r="A15" t="s">
        <v>119</v>
      </c>
      <c r="B15">
        <v>5</v>
      </c>
      <c r="C15">
        <v>5</v>
      </c>
      <c r="D15">
        <v>7</v>
      </c>
      <c r="E15">
        <v>7</v>
      </c>
      <c r="H15">
        <v>4</v>
      </c>
      <c r="I15">
        <v>5</v>
      </c>
      <c r="M15">
        <v>150</v>
      </c>
      <c r="O15">
        <v>1</v>
      </c>
      <c r="P15">
        <v>2</v>
      </c>
      <c r="Q15">
        <v>20</v>
      </c>
      <c r="AD15" t="s">
        <v>124</v>
      </c>
      <c r="AS15">
        <v>10</v>
      </c>
      <c r="AT15">
        <v>15</v>
      </c>
      <c r="AU15">
        <v>17</v>
      </c>
      <c r="AV15" s="41">
        <v>0</v>
      </c>
      <c r="AW15" s="55">
        <v>0</v>
      </c>
      <c r="AX15" s="54">
        <v>0</v>
      </c>
      <c r="AY15" s="54">
        <v>0</v>
      </c>
      <c r="AZ15" s="53">
        <v>0</v>
      </c>
      <c r="BA15" s="53">
        <v>0</v>
      </c>
      <c r="BB15" s="42">
        <v>0</v>
      </c>
      <c r="DO15">
        <f t="shared" si="0"/>
        <v>8.1666666666666679</v>
      </c>
      <c r="DP15" s="26">
        <f>(
(AS15-SUM(AV15:BE15)/COUNTA(AV15:BE15))*COUNTA(AV15:BE15)+ (AS15-3)*COUNTA(BJ15:BM15)+
IF(BO15&lt;&gt;"",(BO15-SUM(BR15:CA15)/COUNTA(BR15:CA15))*COUNTA(BR15:CA15),0)+ (BO15-3)*COUNTA(CB15:CE15)+
IF(CG15&lt;&gt;"",(CG15-SUM(CJ15:CS15)/COUNTA(CJ15:CS15))*COUNTA(CJ15:CS15),0)+ (CG15-3)*COUNTA(CT15:CW15)+
IF(CY15&lt;&gt;"",(CY15-SUM(DC15:DK15)/COUNTA(DC15:DK15))*COUNTA(DC15:DK15),0)+ IF(DL15&lt;&gt;"",(CY15-3)*COUNTA(DL15:DN15),0)
)/
(COUNTA(AV15:BM15)+COUNTA(BR15:CE15)+COUNTA(CJ15:CW15)+COUNTA(DC15:DN15))</f>
        <v>10</v>
      </c>
      <c r="DQ15" s="44">
        <f>COUNTA(AV15:BI15)/2</f>
        <v>3.5</v>
      </c>
      <c r="DR15" s="44">
        <f t="shared" si="9"/>
        <v>15</v>
      </c>
      <c r="DS15" s="44">
        <f t="shared" si="4"/>
        <v>1.75</v>
      </c>
      <c r="DT15" s="44">
        <f t="shared" si="10"/>
        <v>17</v>
      </c>
      <c r="DU15">
        <f t="shared" si="6"/>
        <v>1.3424917100900051</v>
      </c>
      <c r="DV15" s="21">
        <f t="shared" si="7"/>
        <v>10.963682299068378</v>
      </c>
    </row>
    <row r="16" spans="1:127" x14ac:dyDescent="0.3">
      <c r="DP16" s="26"/>
      <c r="DQ16" s="44"/>
      <c r="DR16" s="44"/>
      <c r="DS16" s="44"/>
      <c r="DT16" s="44"/>
      <c r="DV16" s="21"/>
    </row>
    <row r="17" spans="1:127" x14ac:dyDescent="0.3">
      <c r="A17" t="s">
        <v>878</v>
      </c>
      <c r="B17">
        <v>5</v>
      </c>
      <c r="C17">
        <v>5</v>
      </c>
      <c r="D17">
        <v>7</v>
      </c>
      <c r="E17">
        <v>7</v>
      </c>
      <c r="F17">
        <v>1</v>
      </c>
      <c r="H17">
        <v>4</v>
      </c>
      <c r="I17">
        <v>6</v>
      </c>
      <c r="M17">
        <v>90</v>
      </c>
      <c r="O17">
        <v>1</v>
      </c>
      <c r="P17">
        <v>3</v>
      </c>
      <c r="AS17">
        <v>10</v>
      </c>
      <c r="AT17">
        <v>14</v>
      </c>
      <c r="AU17">
        <v>17</v>
      </c>
      <c r="AV17" s="41">
        <v>0</v>
      </c>
      <c r="AW17" s="55">
        <v>0</v>
      </c>
      <c r="AX17" s="55">
        <v>0</v>
      </c>
      <c r="AY17" s="54">
        <v>1</v>
      </c>
      <c r="AZ17" s="54">
        <v>1</v>
      </c>
      <c r="BA17" s="53">
        <v>2</v>
      </c>
      <c r="BB17" s="53">
        <v>2</v>
      </c>
      <c r="BC17" s="42">
        <v>3</v>
      </c>
      <c r="BD17" s="42"/>
      <c r="DO17">
        <f t="shared" si="0"/>
        <v>9.3333333333333339</v>
      </c>
      <c r="DP17" s="26">
        <f>(
(AS17-SUM(AV17:BE17)/COUNTA(AV17:BE17))*COUNTA(AV17:BE17)+ (AS17-3)*COUNTA(BJ17:BM17)+
IF(BO17&lt;&gt;"",(BO17-SUM(BR17:CA17)/COUNTA(BR17:CA17))*COUNTA(BR17:CA17),0)+ (BO17-3)*COUNTA(CB17:CE17)+
IF(CG17&lt;&gt;"",(CG17-SUM(CJ17:CS17)/COUNTA(CJ17:CS17))*COUNTA(CJ17:CS17),0)+ (CG17-3)*COUNTA(CT17:CW17)+
IF(CY17&lt;&gt;"",(CY17-SUM(DC17:DK17)/COUNTA(DC17:DK17))*COUNTA(DC17:DK17),0)+ IF(DL17&lt;&gt;"",(CY17-3)*COUNTA(DL17:DN17),0)
)/
(COUNTA(AV17:BM17)+COUNTA(BR17:CE17)+COUNTA(CJ17:CW17)+COUNTA(DC17:DN17))</f>
        <v>8.875</v>
      </c>
      <c r="DQ17" s="44">
        <f>COUNTA(AV17:BI17)/2</f>
        <v>4</v>
      </c>
      <c r="DR17" s="44">
        <f t="shared" ref="DR17" si="11">AT17</f>
        <v>14</v>
      </c>
      <c r="DS17" s="44">
        <f t="shared" ref="DS17" si="12">1.5*COUNTA(AG17:AQ17)+(COUNTA(AV17:BE17)/2+COUNTA(BR17:CA17)/2+COUNTA(CJ17:CS17)/2)/2</f>
        <v>2</v>
      </c>
      <c r="DT17" s="44">
        <f t="shared" si="10"/>
        <v>17</v>
      </c>
      <c r="DU17">
        <f t="shared" ref="DU17" si="13">1+(DP17-9.277)/2.111</f>
        <v>0.80956892468024666</v>
      </c>
      <c r="DV17" s="21">
        <f t="shared" ref="DV17" si="14">DO17*(1+(DP17-9.277)/2.111)</f>
        <v>7.5559766303489697</v>
      </c>
    </row>
    <row r="18" spans="1:127" x14ac:dyDescent="0.3">
      <c r="A18" t="s">
        <v>879</v>
      </c>
      <c r="B18">
        <v>5</v>
      </c>
      <c r="C18">
        <v>4</v>
      </c>
      <c r="D18">
        <v>8</v>
      </c>
      <c r="E18">
        <v>8</v>
      </c>
      <c r="F18">
        <v>1</v>
      </c>
      <c r="H18">
        <v>3</v>
      </c>
      <c r="I18">
        <v>6</v>
      </c>
      <c r="M18">
        <v>100</v>
      </c>
      <c r="O18">
        <v>1</v>
      </c>
      <c r="P18">
        <v>3</v>
      </c>
      <c r="AS18">
        <v>11</v>
      </c>
      <c r="AT18">
        <v>14</v>
      </c>
      <c r="AU18">
        <v>17</v>
      </c>
      <c r="AV18" s="55">
        <v>0</v>
      </c>
      <c r="AW18" s="55">
        <v>0</v>
      </c>
      <c r="AX18" s="54">
        <v>1</v>
      </c>
      <c r="AY18" s="54">
        <v>1</v>
      </c>
      <c r="AZ18" s="53">
        <v>2</v>
      </c>
      <c r="BA18" s="53">
        <v>2</v>
      </c>
      <c r="BB18" s="42">
        <v>3</v>
      </c>
      <c r="BC18" s="42"/>
      <c r="DO18">
        <f t="shared" si="0"/>
        <v>8.1666666666666679</v>
      </c>
      <c r="DP18" s="26">
        <f t="shared" ref="DP18:DP19" si="15">(
(AS18-SUM(AV18:BE18)/COUNTA(AV18:BE18))*COUNTA(AV18:BE18)+ (AS18-3)*COUNTA(BJ18:BM18)+
IF(BO18&lt;&gt;"",(BO18-SUM(BR18:CA18)/COUNTA(BR18:CA18))*COUNTA(BR18:CA18),0)+ (BO18-3)*COUNTA(CB18:CE18)+
IF(CG18&lt;&gt;"",(CG18-SUM(CJ18:CS18)/COUNTA(CJ18:CS18))*COUNTA(CJ18:CS18),0)+ (CG18-3)*COUNTA(CT18:CW18)+
IF(CY18&lt;&gt;"",(CY18-SUM(DC18:DK18)/COUNTA(DC18:DK18))*COUNTA(DC18:DK18),0)+ IF(DL18&lt;&gt;"",(CY18-3)*COUNTA(DL18:DN18),0)
)/
(COUNTA(AV18:BM18)+COUNTA(BR18:CE18)+COUNTA(CJ18:CW18)+COUNTA(DC18:DN18))</f>
        <v>9.7142857142857135</v>
      </c>
      <c r="DQ18" s="44">
        <f t="shared" ref="DQ18:DQ19" si="16">COUNTA(AV18:BI18)/2</f>
        <v>3.5</v>
      </c>
      <c r="DR18" s="44">
        <f t="shared" ref="DR18:DR20" si="17">AT18</f>
        <v>14</v>
      </c>
      <c r="DS18" s="44">
        <f t="shared" ref="DS18:DS19" si="18">1.5*COUNTA(AG18:AQ18)+(COUNTA(AV18:BE18)/2+COUNTA(BR18:CA18)/2+COUNTA(CJ18:CS18)/2)/2</f>
        <v>1.75</v>
      </c>
      <c r="DT18" s="44">
        <f t="shared" ref="DT18:DT20" si="19">AU18</f>
        <v>17</v>
      </c>
      <c r="DU18">
        <f t="shared" ref="DU18:DU19" si="20">1+(DP18-9.277)/2.111</f>
        <v>1.2071462407795899</v>
      </c>
      <c r="DV18" s="21">
        <f t="shared" ref="DV18:DV19" si="21">DO18*(1+(DP18-9.277)/2.111)</f>
        <v>9.8583609663666518</v>
      </c>
    </row>
    <row r="19" spans="1:127" x14ac:dyDescent="0.3">
      <c r="A19" t="s">
        <v>884</v>
      </c>
      <c r="B19">
        <v>4</v>
      </c>
      <c r="C19">
        <v>5</v>
      </c>
      <c r="D19">
        <v>11</v>
      </c>
      <c r="E19">
        <v>11</v>
      </c>
      <c r="F19">
        <v>2</v>
      </c>
      <c r="H19">
        <v>3</v>
      </c>
      <c r="I19">
        <v>6</v>
      </c>
      <c r="M19">
        <v>85</v>
      </c>
      <c r="O19">
        <v>1</v>
      </c>
      <c r="P19">
        <v>3</v>
      </c>
      <c r="AS19">
        <v>11</v>
      </c>
      <c r="AT19">
        <v>14</v>
      </c>
      <c r="AU19">
        <v>16</v>
      </c>
      <c r="AV19" s="55">
        <v>0</v>
      </c>
      <c r="AW19" s="54">
        <v>1</v>
      </c>
      <c r="AX19" s="53">
        <v>2</v>
      </c>
      <c r="AY19" s="53">
        <v>2</v>
      </c>
      <c r="AZ19" s="42">
        <v>3</v>
      </c>
      <c r="BA19" s="42">
        <v>3</v>
      </c>
      <c r="DO19">
        <f t="shared" si="0"/>
        <v>7</v>
      </c>
      <c r="DP19" s="26">
        <f t="shared" si="15"/>
        <v>9.1666666666666661</v>
      </c>
      <c r="DQ19" s="44">
        <f t="shared" si="16"/>
        <v>3</v>
      </c>
      <c r="DR19" s="44">
        <f t="shared" si="17"/>
        <v>14</v>
      </c>
      <c r="DS19" s="44">
        <f t="shared" si="18"/>
        <v>1.5</v>
      </c>
      <c r="DT19" s="44">
        <f t="shared" si="19"/>
        <v>16</v>
      </c>
      <c r="DU19">
        <f t="shared" si="20"/>
        <v>0.9477340912679616</v>
      </c>
      <c r="DV19" s="21">
        <f t="shared" si="21"/>
        <v>6.6341386388757311</v>
      </c>
    </row>
    <row r="20" spans="1:127" x14ac:dyDescent="0.3">
      <c r="A20" t="s">
        <v>885</v>
      </c>
      <c r="B20">
        <v>3</v>
      </c>
      <c r="C20">
        <v>5</v>
      </c>
      <c r="D20">
        <v>12</v>
      </c>
      <c r="E20">
        <v>12</v>
      </c>
      <c r="F20">
        <v>3</v>
      </c>
      <c r="H20">
        <v>3</v>
      </c>
      <c r="I20">
        <v>6</v>
      </c>
      <c r="M20">
        <v>65</v>
      </c>
      <c r="O20">
        <v>1</v>
      </c>
      <c r="P20">
        <v>3</v>
      </c>
      <c r="AS20">
        <v>10</v>
      </c>
      <c r="AT20">
        <v>13</v>
      </c>
      <c r="AU20">
        <v>15</v>
      </c>
      <c r="AV20" s="55">
        <v>0</v>
      </c>
      <c r="AW20" s="54">
        <v>1</v>
      </c>
      <c r="AX20" s="53">
        <v>2</v>
      </c>
      <c r="AY20" s="42">
        <v>3</v>
      </c>
      <c r="AZ20" s="53"/>
      <c r="DR20" s="44">
        <f t="shared" si="17"/>
        <v>13</v>
      </c>
      <c r="DT20" s="44">
        <f t="shared" si="19"/>
        <v>15</v>
      </c>
    </row>
    <row r="21" spans="1:127" x14ac:dyDescent="0.3">
      <c r="DP21">
        <f>0/2</f>
        <v>0</v>
      </c>
    </row>
    <row r="22" spans="1:127" ht="77.400000000000006" x14ac:dyDescent="0.3">
      <c r="A22" s="6" t="s">
        <v>854</v>
      </c>
      <c r="B22" s="1" t="s">
        <v>10</v>
      </c>
      <c r="C22" s="1" t="s">
        <v>9</v>
      </c>
      <c r="D22" s="1" t="s">
        <v>12</v>
      </c>
      <c r="E22" s="1" t="s">
        <v>13</v>
      </c>
      <c r="F22" s="1" t="s">
        <v>15</v>
      </c>
      <c r="G22" s="1" t="s">
        <v>14</v>
      </c>
      <c r="H22" s="1" t="s">
        <v>11</v>
      </c>
      <c r="I22" s="1" t="s">
        <v>16</v>
      </c>
      <c r="J22" s="1" t="s">
        <v>17</v>
      </c>
      <c r="K22" s="1" t="s">
        <v>114</v>
      </c>
      <c r="L22" s="1" t="s">
        <v>115</v>
      </c>
      <c r="M22" s="1" t="s">
        <v>113</v>
      </c>
      <c r="N22" s="1" t="s">
        <v>102</v>
      </c>
      <c r="O22" s="1"/>
      <c r="P22" s="1"/>
      <c r="Q22" s="1"/>
      <c r="R22" s="1" t="s">
        <v>18</v>
      </c>
      <c r="S22" s="1" t="s">
        <v>19</v>
      </c>
      <c r="T22" s="1" t="s">
        <v>20</v>
      </c>
      <c r="U22" s="1" t="s">
        <v>21</v>
      </c>
      <c r="V22" s="1" t="s">
        <v>22</v>
      </c>
      <c r="W22" s="1" t="s">
        <v>23</v>
      </c>
      <c r="X22" s="1" t="s">
        <v>24</v>
      </c>
      <c r="Y22" s="1" t="s">
        <v>25</v>
      </c>
      <c r="Z22" s="1" t="s">
        <v>33</v>
      </c>
      <c r="AA22" s="1" t="s">
        <v>34</v>
      </c>
      <c r="AB22" s="1" t="s">
        <v>35</v>
      </c>
      <c r="AC22" s="1" t="s">
        <v>36</v>
      </c>
      <c r="AD22" s="1" t="s">
        <v>609</v>
      </c>
      <c r="AE22" s="1" t="s">
        <v>117</v>
      </c>
      <c r="AF22" s="1" t="s">
        <v>37</v>
      </c>
      <c r="AG22" s="1" t="s">
        <v>38</v>
      </c>
      <c r="AH22" s="1" t="s">
        <v>39</v>
      </c>
      <c r="AI22" s="1" t="s">
        <v>40</v>
      </c>
      <c r="AJ22" s="1" t="s">
        <v>41</v>
      </c>
      <c r="AK22" s="1" t="s">
        <v>42</v>
      </c>
      <c r="AL22" s="1" t="s">
        <v>43</v>
      </c>
      <c r="AM22" s="1" t="s">
        <v>44</v>
      </c>
      <c r="AN22" s="1" t="s">
        <v>45</v>
      </c>
      <c r="AO22" s="1" t="s">
        <v>46</v>
      </c>
      <c r="AP22" s="1" t="s">
        <v>47</v>
      </c>
      <c r="AQ22" s="1" t="s">
        <v>48</v>
      </c>
      <c r="AR22" s="1" t="s">
        <v>120</v>
      </c>
      <c r="AS22" s="1"/>
      <c r="AT22" s="1"/>
      <c r="AU22" s="1"/>
      <c r="AV22" s="40" t="s">
        <v>49</v>
      </c>
      <c r="AW22" s="1" t="s">
        <v>50</v>
      </c>
      <c r="AX22" s="1" t="s">
        <v>51</v>
      </c>
      <c r="AY22" s="1" t="s">
        <v>52</v>
      </c>
      <c r="AZ22" s="1" t="s">
        <v>53</v>
      </c>
      <c r="BA22" s="1" t="s">
        <v>54</v>
      </c>
      <c r="BB22" s="1" t="s">
        <v>55</v>
      </c>
      <c r="BC22" s="1" t="s">
        <v>56</v>
      </c>
      <c r="BD22" s="1" t="s">
        <v>57</v>
      </c>
      <c r="BE22" s="1" t="s">
        <v>58</v>
      </c>
      <c r="BF22" s="1"/>
      <c r="BG22" s="1"/>
      <c r="BH22" s="1"/>
      <c r="BI22" s="1"/>
      <c r="BJ22" s="1" t="s">
        <v>59</v>
      </c>
      <c r="BK22" s="1" t="s">
        <v>60</v>
      </c>
      <c r="BL22" s="1" t="s">
        <v>61</v>
      </c>
      <c r="BM22" s="1"/>
      <c r="BN22" s="1" t="s">
        <v>121</v>
      </c>
      <c r="BO22" s="1"/>
      <c r="BP22" s="1"/>
      <c r="BQ22" s="1"/>
      <c r="BR22" s="40" t="s">
        <v>62</v>
      </c>
      <c r="BS22" s="1" t="s">
        <v>63</v>
      </c>
      <c r="BT22" s="1" t="s">
        <v>64</v>
      </c>
      <c r="BU22" s="1" t="s">
        <v>65</v>
      </c>
      <c r="BV22" s="1" t="s">
        <v>66</v>
      </c>
      <c r="BW22" s="1" t="s">
        <v>67</v>
      </c>
      <c r="BX22" s="1" t="s">
        <v>68</v>
      </c>
      <c r="BY22" s="1" t="s">
        <v>69</v>
      </c>
      <c r="BZ22" s="1" t="s">
        <v>70</v>
      </c>
      <c r="CA22" s="1" t="s">
        <v>71</v>
      </c>
      <c r="CB22" s="1" t="s">
        <v>72</v>
      </c>
      <c r="CC22" s="1" t="s">
        <v>73</v>
      </c>
      <c r="CD22" s="1" t="s">
        <v>74</v>
      </c>
      <c r="CE22" s="1"/>
      <c r="CF22" s="1" t="s">
        <v>122</v>
      </c>
      <c r="CG22" s="1" t="s">
        <v>170</v>
      </c>
      <c r="CH22" s="1" t="s">
        <v>171</v>
      </c>
      <c r="CI22" s="1" t="s">
        <v>172</v>
      </c>
      <c r="CJ22" s="40" t="s">
        <v>75</v>
      </c>
      <c r="CK22" s="1" t="s">
        <v>76</v>
      </c>
      <c r="CL22" s="1" t="s">
        <v>77</v>
      </c>
      <c r="CM22" s="1" t="s">
        <v>78</v>
      </c>
      <c r="CN22" s="1" t="s">
        <v>79</v>
      </c>
      <c r="CO22" s="1" t="s">
        <v>80</v>
      </c>
      <c r="CP22" s="1" t="s">
        <v>81</v>
      </c>
      <c r="CQ22" s="1" t="s">
        <v>82</v>
      </c>
      <c r="CR22" s="1" t="s">
        <v>83</v>
      </c>
      <c r="CS22" s="1" t="s">
        <v>84</v>
      </c>
      <c r="CT22" s="1" t="s">
        <v>85</v>
      </c>
      <c r="CU22" s="1" t="s">
        <v>86</v>
      </c>
      <c r="CV22" s="1" t="s">
        <v>87</v>
      </c>
      <c r="CW22" s="1"/>
      <c r="CX22" s="1" t="s">
        <v>461</v>
      </c>
      <c r="CY22" s="1" t="s">
        <v>462</v>
      </c>
      <c r="CZ22" s="1" t="s">
        <v>463</v>
      </c>
      <c r="DA22" s="1" t="s">
        <v>464</v>
      </c>
      <c r="DB22" s="40" t="s">
        <v>88</v>
      </c>
      <c r="DC22" s="1" t="s">
        <v>89</v>
      </c>
      <c r="DD22" s="1" t="s">
        <v>90</v>
      </c>
      <c r="DE22" s="1" t="s">
        <v>91</v>
      </c>
      <c r="DF22" s="1" t="s">
        <v>92</v>
      </c>
      <c r="DG22" s="1" t="s">
        <v>93</v>
      </c>
      <c r="DH22" s="1" t="s">
        <v>94</v>
      </c>
      <c r="DI22" s="1" t="s">
        <v>95</v>
      </c>
      <c r="DJ22" s="1" t="s">
        <v>96</v>
      </c>
      <c r="DK22" s="1" t="s">
        <v>97</v>
      </c>
      <c r="DL22" s="1" t="s">
        <v>98</v>
      </c>
      <c r="DM22" s="1" t="s">
        <v>99</v>
      </c>
      <c r="DN22" s="1" t="s">
        <v>100</v>
      </c>
    </row>
    <row r="23" spans="1:127" x14ac:dyDescent="0.3">
      <c r="A23" t="s">
        <v>160</v>
      </c>
      <c r="B23">
        <v>5</v>
      </c>
      <c r="C23">
        <v>4</v>
      </c>
      <c r="D23" s="5">
        <v>8</v>
      </c>
      <c r="E23">
        <v>12</v>
      </c>
      <c r="F23" s="5">
        <v>4</v>
      </c>
      <c r="G23">
        <v>6</v>
      </c>
      <c r="H23">
        <v>3</v>
      </c>
      <c r="I23">
        <v>3</v>
      </c>
      <c r="J23">
        <v>2</v>
      </c>
      <c r="M23">
        <v>225</v>
      </c>
      <c r="R23" t="s">
        <v>103</v>
      </c>
      <c r="AD23" t="s">
        <v>610</v>
      </c>
      <c r="AR23">
        <v>3</v>
      </c>
      <c r="AS23">
        <v>12</v>
      </c>
      <c r="AT23">
        <v>15</v>
      </c>
      <c r="AU23">
        <v>17</v>
      </c>
      <c r="AV23" s="41">
        <v>0</v>
      </c>
      <c r="AW23" s="54">
        <v>1</v>
      </c>
      <c r="AX23" s="53">
        <v>2</v>
      </c>
      <c r="AY23" s="42">
        <v>3</v>
      </c>
      <c r="BJ23" t="s">
        <v>104</v>
      </c>
      <c r="BK23" t="s">
        <v>105</v>
      </c>
      <c r="BL23" t="s">
        <v>106</v>
      </c>
      <c r="BN23">
        <v>4</v>
      </c>
      <c r="BO23">
        <v>11</v>
      </c>
      <c r="BP23">
        <v>13</v>
      </c>
      <c r="BQ23">
        <v>16</v>
      </c>
      <c r="BR23" s="41">
        <v>0</v>
      </c>
      <c r="BS23" s="54">
        <v>1</v>
      </c>
      <c r="BT23" s="53">
        <v>2</v>
      </c>
      <c r="BU23" s="42">
        <v>3</v>
      </c>
      <c r="BV23" s="42">
        <v>3</v>
      </c>
      <c r="CB23" t="s">
        <v>107</v>
      </c>
      <c r="CC23" t="s">
        <v>108</v>
      </c>
      <c r="CD23" t="s">
        <v>109</v>
      </c>
      <c r="CF23">
        <v>4</v>
      </c>
      <c r="CG23">
        <v>11</v>
      </c>
      <c r="CH23">
        <v>14</v>
      </c>
      <c r="CI23">
        <v>16</v>
      </c>
      <c r="CJ23" s="41">
        <v>0</v>
      </c>
      <c r="CK23" s="54">
        <v>1</v>
      </c>
      <c r="CL23" s="53">
        <v>2</v>
      </c>
      <c r="CM23" s="42">
        <v>3</v>
      </c>
      <c r="CN23" s="42">
        <v>3</v>
      </c>
      <c r="CT23" t="s">
        <v>110</v>
      </c>
      <c r="CU23" t="s">
        <v>111</v>
      </c>
      <c r="CV23" t="s">
        <v>112</v>
      </c>
      <c r="CX23">
        <v>3</v>
      </c>
      <c r="CY23">
        <v>10</v>
      </c>
      <c r="CZ23">
        <v>13</v>
      </c>
      <c r="DA23">
        <v>15</v>
      </c>
      <c r="DB23" s="41">
        <v>0</v>
      </c>
      <c r="DC23" s="54">
        <v>1</v>
      </c>
      <c r="DD23" s="53">
        <v>2</v>
      </c>
      <c r="DE23" s="42">
        <v>3</v>
      </c>
      <c r="DL23" t="s">
        <v>465</v>
      </c>
      <c r="DM23" t="s">
        <v>466</v>
      </c>
      <c r="DN23" t="s">
        <v>467</v>
      </c>
      <c r="DO23">
        <f t="shared" ref="DO23:DO24" si="22">IF(AD23="V",1.5*(COUNTA(AF23:AQ23)-1)+((COUNTA(AV23:BM23)+COUNTA(BR23:CE23)+COUNTA(CJ23:CW23)+COUNTA(DB23:DN23)))*2/3,
IF(AD23="H",(COUNTA(AV23:BM23)+COUNTA(BR23:CE23)+COUNTA(CJ23:CW23)+COUNTA(DB23:DN23))*2/3*25/18,7/6*COUNTA(AV23:BE23)))</f>
        <v>27.777777777777779</v>
      </c>
      <c r="DP23" s="26">
        <f>(
(AS23-SUM(AV23:BE23)/COUNTA(AV23:BE23))*COUNTA(AV23:BE23)+ (AS23-3)*COUNTA(BJ23:BM23)+
IF(BO23&lt;&gt;"",(BO23-SUM(BR23:CA23)/COUNTA(BR23:CA23))*COUNTA(BR23:CA23),0)+ (BO23-3)*COUNTA(CB23:CE23)+
IF(CG23&lt;&gt;"",(CG23-SUM(CJ23:CS23)/COUNTA(CJ23:CS23))*COUNTA(CJ23:CS23),0)+ (CG23-3)*COUNTA(CT23:CW23)+
IF(CY23&lt;&gt;"",(CY23-SUM(DC23:DK23)/COUNTA(DC23:DK23))*COUNTA(DC23:DK23),0)+ IF(DL23&lt;&gt;"",(CY23-3)*COUNTA(DL23:DN23),0)
)/
(COUNTA(AV23:BM23)+COUNTA(BR23:CE23)+COUNTA(CJ23:CW23)+COUNTA(DC23:DN23))</f>
        <v>8.7586206896551726</v>
      </c>
      <c r="DQ23" s="44">
        <f>1.5*COUNTA(AG23:AQ23)+(COUNTA(AV23:BE23)/2+COUNTA(BJ23:BM23)+COUNTA(BR23:CA23)/2+COUNTA(CB23:CE23)+COUNTA(CJ23:CS23)/2+COUNTA(CT23:CW23))/2</f>
        <v>8</v>
      </c>
      <c r="DR23" s="44">
        <f>(AT23+BP23+CH23)/3</f>
        <v>14</v>
      </c>
      <c r="DS23" s="44">
        <f>1.5*COUNTA(AG23:AQ23)+(COUNTA(AV23:BE23)/2+COUNTA(BR23:CA23)/2+COUNTA(CJ23:CS23)/2)/2</f>
        <v>3.5</v>
      </c>
      <c r="DT23" s="44">
        <f>(AU23+BQ23+CI23)/3</f>
        <v>16.333333333333332</v>
      </c>
      <c r="DU23">
        <f>1+(DP23-9.277)/2.111</f>
        <v>0.75443898136199594</v>
      </c>
      <c r="DV23" s="21">
        <f>DO23*(1+(DP23-9.277)/2.111)</f>
        <v>20.956638371166555</v>
      </c>
    </row>
    <row r="24" spans="1:127" x14ac:dyDescent="0.3">
      <c r="A24" t="s">
        <v>161</v>
      </c>
      <c r="B24">
        <v>9</v>
      </c>
      <c r="C24">
        <v>3</v>
      </c>
      <c r="D24" s="5">
        <v>7</v>
      </c>
      <c r="E24">
        <v>10</v>
      </c>
      <c r="F24" s="5">
        <v>3</v>
      </c>
      <c r="G24">
        <v>5</v>
      </c>
      <c r="H24" s="5">
        <v>3</v>
      </c>
      <c r="I24">
        <v>3</v>
      </c>
      <c r="J24" s="5">
        <v>3</v>
      </c>
      <c r="K24" t="s">
        <v>660</v>
      </c>
      <c r="M24">
        <v>340</v>
      </c>
      <c r="R24" t="s">
        <v>103</v>
      </c>
      <c r="S24" t="s">
        <v>103</v>
      </c>
      <c r="AD24" t="s">
        <v>610</v>
      </c>
      <c r="AR24">
        <v>5</v>
      </c>
      <c r="AS24">
        <v>13</v>
      </c>
      <c r="AT24">
        <v>15</v>
      </c>
      <c r="AU24">
        <v>17</v>
      </c>
      <c r="AV24" s="41">
        <v>0</v>
      </c>
      <c r="AW24" s="54">
        <v>1</v>
      </c>
      <c r="AX24" s="54">
        <v>1</v>
      </c>
      <c r="AY24" s="53">
        <v>2</v>
      </c>
      <c r="AZ24" s="42">
        <v>3</v>
      </c>
      <c r="BA24" s="42">
        <v>3</v>
      </c>
      <c r="BJ24" t="s">
        <v>104</v>
      </c>
      <c r="BK24" t="s">
        <v>105</v>
      </c>
      <c r="BL24" t="s">
        <v>106</v>
      </c>
      <c r="BN24">
        <v>6</v>
      </c>
      <c r="BO24">
        <v>12</v>
      </c>
      <c r="BP24">
        <v>14</v>
      </c>
      <c r="BQ24">
        <v>17</v>
      </c>
      <c r="BR24" s="41">
        <v>0</v>
      </c>
      <c r="BS24" s="54">
        <v>1</v>
      </c>
      <c r="BT24" s="54">
        <v>1</v>
      </c>
      <c r="BU24" s="53">
        <v>2</v>
      </c>
      <c r="BV24" s="53">
        <v>2</v>
      </c>
      <c r="BW24" s="42">
        <v>3</v>
      </c>
      <c r="BX24" s="42">
        <v>3</v>
      </c>
      <c r="CB24" t="s">
        <v>107</v>
      </c>
      <c r="CC24" t="s">
        <v>108</v>
      </c>
      <c r="CD24" t="s">
        <v>109</v>
      </c>
      <c r="CF24">
        <v>6</v>
      </c>
      <c r="CG24">
        <v>12</v>
      </c>
      <c r="CH24">
        <v>15</v>
      </c>
      <c r="CI24">
        <v>17</v>
      </c>
      <c r="CJ24" s="41">
        <v>0</v>
      </c>
      <c r="CK24" s="54">
        <v>1</v>
      </c>
      <c r="CL24" s="54">
        <v>1</v>
      </c>
      <c r="CM24" s="53">
        <v>2</v>
      </c>
      <c r="CN24" s="53">
        <v>2</v>
      </c>
      <c r="CO24" s="42">
        <v>3</v>
      </c>
      <c r="CP24" s="42">
        <v>3</v>
      </c>
      <c r="CT24" t="s">
        <v>110</v>
      </c>
      <c r="CU24" t="s">
        <v>111</v>
      </c>
      <c r="CV24" t="s">
        <v>112</v>
      </c>
      <c r="CX24">
        <v>4</v>
      </c>
      <c r="CY24">
        <v>11</v>
      </c>
      <c r="CZ24">
        <v>14</v>
      </c>
      <c r="DA24">
        <v>16</v>
      </c>
      <c r="DB24" s="41">
        <v>0</v>
      </c>
      <c r="DC24" s="54">
        <v>1</v>
      </c>
      <c r="DD24" s="53">
        <v>2</v>
      </c>
      <c r="DE24" s="42">
        <v>3</v>
      </c>
      <c r="DF24" s="42">
        <v>3</v>
      </c>
      <c r="DL24" t="s">
        <v>465</v>
      </c>
      <c r="DM24" t="s">
        <v>466</v>
      </c>
      <c r="DN24" t="s">
        <v>467</v>
      </c>
      <c r="DO24">
        <f t="shared" si="22"/>
        <v>34.259259259259267</v>
      </c>
      <c r="DP24" s="26">
        <f>(
(AS24-SUM(AV24:BE24)/COUNTA(AV24:BE24))*COUNTA(AV24:BE24)+ (AS24-3)*COUNTA(BJ24:BM24)+
IF(BO24&lt;&gt;"",(BO24-SUM(BR24:CA24)/COUNTA(BR24:CA24))*COUNTA(BR24:CA24),0)+ (BO24-3)*COUNTA(CB24:CE24)+
IF(CG24&lt;&gt;"",(CG24-SUM(CJ24:CS24)/COUNTA(CJ24:CS24))*COUNTA(CJ24:CS24),0)+ (CG24-3)*COUNTA(CT24:CW24)+
IF(CY24&lt;&gt;"",(CY24-SUM(DC24:DK24)/COUNTA(DC24:DK24))*COUNTA(DC24:DK24),0)+ IF(DL24&lt;&gt;"",(CY24-3)*COUNTA(DL24:DN24),0)
)/
(COUNTA(AV24:BM24)+COUNTA(BR24:CE24)+COUNTA(CJ24:CW24)+COUNTA(DC24:DN24))</f>
        <v>9.8611111111111107</v>
      </c>
      <c r="DQ24" s="44">
        <f>1.5*COUNTA(AG24:AQ24)+(COUNTA(AV24:BE24)/2+COUNTA(BJ24:BM24)+COUNTA(BR24:CA24)/2+COUNTA(CB24:CE24)+COUNTA(CJ24:CS24)/2+COUNTA(CT24:CW24))/2</f>
        <v>9.5</v>
      </c>
      <c r="DR24" s="44">
        <f>(AT24+BP24+CH24)/3</f>
        <v>14.666666666666666</v>
      </c>
      <c r="DS24" s="44">
        <f>1.5*COUNTA(AG24:AQ24)+(COUNTA(AV24:BE24)/2+COUNTA(BR24:CA24)/2+COUNTA(CJ24:CS24)/2)/2</f>
        <v>5</v>
      </c>
      <c r="DT24" s="44">
        <f>(AU24+BQ24+CI24)/3</f>
        <v>17</v>
      </c>
      <c r="DU24">
        <f>1+(DP24-9.277)/2.111</f>
        <v>1.2766987736196644</v>
      </c>
      <c r="DV24" s="21">
        <f>DO24*(1+(DP24-9.277)/2.111)</f>
        <v>43.738754281414437</v>
      </c>
    </row>
    <row r="25" spans="1:127" x14ac:dyDescent="0.3">
      <c r="D25" s="5"/>
      <c r="F25" s="5"/>
      <c r="DP25" s="26"/>
      <c r="DQ25" s="44"/>
      <c r="DR25" s="44"/>
      <c r="DS25" s="44"/>
      <c r="DT25" s="44"/>
      <c r="DV25" s="21"/>
    </row>
    <row r="26" spans="1:127" x14ac:dyDescent="0.3">
      <c r="A26" t="s">
        <v>438</v>
      </c>
      <c r="B26">
        <v>4</v>
      </c>
      <c r="C26">
        <v>5</v>
      </c>
      <c r="D26">
        <v>12</v>
      </c>
      <c r="E26">
        <v>12</v>
      </c>
      <c r="H26">
        <v>4</v>
      </c>
      <c r="I26">
        <v>3</v>
      </c>
      <c r="M26">
        <v>55</v>
      </c>
      <c r="O26">
        <v>2</v>
      </c>
      <c r="P26">
        <v>4</v>
      </c>
      <c r="Q26">
        <v>10</v>
      </c>
      <c r="AD26" t="s">
        <v>29</v>
      </c>
      <c r="AS26">
        <v>10</v>
      </c>
      <c r="AT26">
        <v>14</v>
      </c>
      <c r="AU26">
        <v>17</v>
      </c>
      <c r="AV26" s="41">
        <v>0</v>
      </c>
      <c r="AW26" s="54">
        <v>0</v>
      </c>
      <c r="AX26" s="56">
        <v>0</v>
      </c>
      <c r="AY26" s="42">
        <v>0</v>
      </c>
      <c r="DO26">
        <f t="shared" ref="DO26:DO27" si="23">IF(AD26="V",1.5*(COUNTA(AF26:AQ26)-1)+((COUNTA(AV26:BM26)+COUNTA(BR26:CE26)+COUNTA(CJ26:CW26)+COUNTA(DB26:DN26)))*2/3,
IF(AD26="H",(COUNTA(AV26:BM26)+COUNTA(BR26:CE26)+COUNTA(CJ26:CW26)+COUNTA(DB26:DN26))*2/3*25/18,7/6*COUNTA(AV26:BE26)))</f>
        <v>4.666666666666667</v>
      </c>
      <c r="DP26" s="26">
        <f>(
(AS26-SUM(AV26:BE26)/COUNTA(AV26:BE26))*COUNTA(AV26:BE26)+ (AS26-3)*COUNTA(BJ26:BM26)+
IF(BO26&lt;&gt;"",(BO26-SUM(BR26:CA26)/COUNTA(BR26:CA26))*COUNTA(BR26:CA26),0)+ (BO26-3)*COUNTA(CB26:CE26)+
IF(CG26&lt;&gt;"",(CG26-SUM(CJ26:CS26)/COUNTA(CJ26:CS26))*COUNTA(CJ26:CS26),0)+ (CG26-3)*COUNTA(CT26:CW26)+
IF(CY26&lt;&gt;"",(CY26-SUM(DC26:DK26)/COUNTA(DC26:DK26))*COUNTA(DC26:DK26),0)+ IF(DL26&lt;&gt;"",(CY26-3)*COUNTA(DL26:DN26),0)
)/
(COUNTA(AV26:BM26)+COUNTA(BR26:CE26)+COUNTA(CJ26:CW26)+COUNTA(DC26:DN26))</f>
        <v>10</v>
      </c>
      <c r="DQ26" s="44">
        <f t="shared" ref="DQ26:DQ27" si="24">COUNTA(AV26:BI26)/2</f>
        <v>2</v>
      </c>
      <c r="DR26" s="44">
        <f t="shared" ref="DR26:DR27" si="25">AT26</f>
        <v>14</v>
      </c>
      <c r="DS26" s="44">
        <f t="shared" ref="DS26:DS27" si="26">1.5*COUNTA(AG26:AQ26)+(COUNTA(AV26:BE26)/2+COUNTA(BR26:CA26)/2+COUNTA(CJ26:CS26)/2)/2</f>
        <v>1</v>
      </c>
      <c r="DT26" s="44">
        <f>(AU26+BQ26+CI26)/3</f>
        <v>5.666666666666667</v>
      </c>
      <c r="DU26">
        <f>1+(DP26-9.277)/2.111</f>
        <v>1.3424917100900051</v>
      </c>
      <c r="DV26" s="21">
        <f>DO26*(1+(DP26-9.277)/2.111)</f>
        <v>6.264961313753358</v>
      </c>
    </row>
    <row r="27" spans="1:127" x14ac:dyDescent="0.3">
      <c r="A27" t="s">
        <v>162</v>
      </c>
      <c r="B27">
        <v>4</v>
      </c>
      <c r="C27">
        <v>5</v>
      </c>
      <c r="D27">
        <v>12</v>
      </c>
      <c r="E27">
        <v>12</v>
      </c>
      <c r="H27">
        <v>4</v>
      </c>
      <c r="I27">
        <v>3</v>
      </c>
      <c r="M27">
        <v>55</v>
      </c>
      <c r="O27">
        <v>2</v>
      </c>
      <c r="P27">
        <v>4</v>
      </c>
      <c r="Q27">
        <v>10</v>
      </c>
      <c r="AD27" t="s">
        <v>29</v>
      </c>
      <c r="AS27">
        <v>10</v>
      </c>
      <c r="AT27">
        <v>14</v>
      </c>
      <c r="AU27">
        <v>17</v>
      </c>
      <c r="AV27" s="41">
        <v>0</v>
      </c>
      <c r="AW27" s="54">
        <v>0</v>
      </c>
      <c r="AX27" s="56">
        <v>0</v>
      </c>
      <c r="AY27" s="42">
        <v>0</v>
      </c>
      <c r="DO27">
        <f t="shared" si="23"/>
        <v>4.666666666666667</v>
      </c>
      <c r="DP27" s="26">
        <f>(
(AS27-SUM(AV27:BE27)/COUNTA(AV27:BE27))*COUNTA(AV27:BE27)+ (AS27-3)*COUNTA(BJ27:BM27)+
IF(BO27&lt;&gt;"",(BO27-SUM(BR27:CA27)/COUNTA(BR27:CA27))*COUNTA(BR27:CA27),0)+ (BO27-3)*COUNTA(CB27:CE27)+
IF(CG27&lt;&gt;"",(CG27-SUM(CJ27:CS27)/COUNTA(CJ27:CS27))*COUNTA(CJ27:CS27),0)+ (CG27-3)*COUNTA(CT27:CW27)+
IF(CY27&lt;&gt;"",(CY27-SUM(DC27:DK27)/COUNTA(DC27:DK27))*COUNTA(DC27:DK27),0)+ IF(DL27&lt;&gt;"",(CY27-3)*COUNTA(DL27:DN27),0)
)/
(COUNTA(AV27:BM27)+COUNTA(BR27:CE27)+COUNTA(CJ27:CW27)+COUNTA(DC27:DN27))</f>
        <v>10</v>
      </c>
      <c r="DQ27" s="44">
        <f t="shared" si="24"/>
        <v>2</v>
      </c>
      <c r="DR27" s="44">
        <f t="shared" si="25"/>
        <v>14</v>
      </c>
      <c r="DS27" s="44">
        <f t="shared" si="26"/>
        <v>1</v>
      </c>
      <c r="DT27" s="44">
        <f>(AU27+BQ27+CI27)/3</f>
        <v>5.666666666666667</v>
      </c>
      <c r="DU27">
        <f>1+(DP27-9.277)/2.111</f>
        <v>1.3424917100900051</v>
      </c>
      <c r="DV27" s="21">
        <f>DO27*(1+(DP27-9.277)/2.111)</f>
        <v>6.264961313753358</v>
      </c>
    </row>
    <row r="29" spans="1:127" ht="77.400000000000006" x14ac:dyDescent="0.3">
      <c r="A29" s="6" t="s">
        <v>874</v>
      </c>
      <c r="D29" t="s">
        <v>12</v>
      </c>
      <c r="E29" t="s">
        <v>13</v>
      </c>
      <c r="AR29" s="1" t="s">
        <v>669</v>
      </c>
      <c r="AS29" s="1" t="s">
        <v>670</v>
      </c>
      <c r="AT29" s="1" t="s">
        <v>671</v>
      </c>
      <c r="AU29" s="1" t="s">
        <v>672</v>
      </c>
      <c r="AV29" s="40" t="s">
        <v>673</v>
      </c>
      <c r="AW29" s="1" t="s">
        <v>674</v>
      </c>
      <c r="AX29" s="1" t="s">
        <v>675</v>
      </c>
      <c r="AY29" s="1" t="s">
        <v>676</v>
      </c>
      <c r="AZ29" s="1" t="s">
        <v>677</v>
      </c>
      <c r="BA29" s="1" t="s">
        <v>678</v>
      </c>
      <c r="BB29" s="1" t="s">
        <v>679</v>
      </c>
      <c r="BC29" s="1" t="s">
        <v>680</v>
      </c>
      <c r="BD29" s="1" t="s">
        <v>681</v>
      </c>
      <c r="BE29" s="1" t="s">
        <v>682</v>
      </c>
      <c r="BF29" s="1"/>
      <c r="BG29" s="1"/>
      <c r="BH29" s="1"/>
      <c r="BI29" s="1"/>
      <c r="BJ29" s="1" t="s">
        <v>683</v>
      </c>
      <c r="BK29" s="1" t="s">
        <v>684</v>
      </c>
      <c r="BL29" s="1" t="s">
        <v>685</v>
      </c>
      <c r="BM29" s="1" t="s">
        <v>686</v>
      </c>
      <c r="BN29" s="1" t="s">
        <v>121</v>
      </c>
      <c r="BO29" s="1" t="s">
        <v>167</v>
      </c>
      <c r="BP29" s="1" t="s">
        <v>168</v>
      </c>
      <c r="BQ29" s="1" t="s">
        <v>169</v>
      </c>
      <c r="BR29" s="40" t="s">
        <v>602</v>
      </c>
      <c r="BS29" s="1" t="s">
        <v>62</v>
      </c>
      <c r="BT29" s="1" t="s">
        <v>63</v>
      </c>
      <c r="BU29" s="1" t="s">
        <v>64</v>
      </c>
      <c r="BV29" s="1" t="s">
        <v>65</v>
      </c>
      <c r="BW29" s="1" t="s">
        <v>66</v>
      </c>
      <c r="BX29" s="1" t="s">
        <v>67</v>
      </c>
      <c r="BY29" s="1" t="s">
        <v>68</v>
      </c>
      <c r="BZ29" s="1" t="s">
        <v>69</v>
      </c>
      <c r="CA29" s="1" t="s">
        <v>70</v>
      </c>
      <c r="CB29" s="1" t="s">
        <v>72</v>
      </c>
      <c r="CC29" s="1" t="s">
        <v>73</v>
      </c>
      <c r="CD29" s="1" t="s">
        <v>74</v>
      </c>
      <c r="CE29" s="1" t="s">
        <v>554</v>
      </c>
      <c r="CF29" s="1" t="s">
        <v>687</v>
      </c>
      <c r="CG29" s="1" t="s">
        <v>688</v>
      </c>
      <c r="CH29" s="1" t="s">
        <v>689</v>
      </c>
      <c r="CI29" s="1" t="s">
        <v>690</v>
      </c>
      <c r="CJ29" s="40" t="s">
        <v>691</v>
      </c>
      <c r="CK29" s="1" t="s">
        <v>692</v>
      </c>
      <c r="CL29" s="1" t="s">
        <v>693</v>
      </c>
      <c r="CM29" s="1" t="s">
        <v>694</v>
      </c>
      <c r="CN29" s="1" t="s">
        <v>695</v>
      </c>
      <c r="CO29" s="1" t="s">
        <v>696</v>
      </c>
      <c r="CP29" s="1" t="s">
        <v>697</v>
      </c>
      <c r="CQ29" s="1" t="s">
        <v>698</v>
      </c>
      <c r="CR29" s="1" t="s">
        <v>699</v>
      </c>
      <c r="CS29" s="1" t="s">
        <v>700</v>
      </c>
      <c r="CT29" s="1" t="s">
        <v>701</v>
      </c>
      <c r="CU29" s="1" t="s">
        <v>702</v>
      </c>
      <c r="CV29" s="1" t="s">
        <v>703</v>
      </c>
      <c r="CW29" s="1" t="s">
        <v>704</v>
      </c>
      <c r="CX29" s="1" t="s">
        <v>461</v>
      </c>
      <c r="CY29" s="1" t="s">
        <v>462</v>
      </c>
      <c r="CZ29" s="1" t="s">
        <v>463</v>
      </c>
      <c r="DA29" s="1" t="s">
        <v>464</v>
      </c>
      <c r="DB29" s="40" t="s">
        <v>604</v>
      </c>
      <c r="DC29" s="1" t="s">
        <v>88</v>
      </c>
      <c r="DD29" s="1" t="s">
        <v>89</v>
      </c>
      <c r="DE29" s="1" t="s">
        <v>90</v>
      </c>
      <c r="DF29" s="1" t="s">
        <v>91</v>
      </c>
      <c r="DG29" s="1" t="s">
        <v>92</v>
      </c>
      <c r="DH29" s="1" t="s">
        <v>93</v>
      </c>
      <c r="DI29" s="1" t="s">
        <v>94</v>
      </c>
      <c r="DJ29" s="1" t="s">
        <v>95</v>
      </c>
      <c r="DK29" s="1" t="s">
        <v>96</v>
      </c>
      <c r="DL29" s="1" t="s">
        <v>98</v>
      </c>
      <c r="DM29" s="1" t="s">
        <v>99</v>
      </c>
      <c r="DN29" s="1" t="s">
        <v>100</v>
      </c>
      <c r="DO29" s="22" t="s">
        <v>370</v>
      </c>
      <c r="DP29" s="1" t="s">
        <v>606</v>
      </c>
      <c r="DQ29" s="1" t="s">
        <v>373</v>
      </c>
      <c r="DR29" s="1" t="s">
        <v>371</v>
      </c>
      <c r="DS29" s="1" t="s">
        <v>374</v>
      </c>
      <c r="DT29" s="1" t="s">
        <v>371</v>
      </c>
      <c r="DU29" s="23" t="s">
        <v>382</v>
      </c>
      <c r="DV29" s="23" t="s">
        <v>614</v>
      </c>
    </row>
    <row r="30" spans="1:127" x14ac:dyDescent="0.3">
      <c r="A30" t="s">
        <v>663</v>
      </c>
      <c r="B30">
        <v>2</v>
      </c>
      <c r="C30">
        <v>6</v>
      </c>
      <c r="D30">
        <v>20</v>
      </c>
      <c r="E30">
        <v>40</v>
      </c>
      <c r="F30">
        <v>1</v>
      </c>
      <c r="M30">
        <v>35</v>
      </c>
      <c r="O30">
        <v>2</v>
      </c>
      <c r="P30">
        <v>5</v>
      </c>
      <c r="AD30" t="s">
        <v>126</v>
      </c>
      <c r="AS30">
        <v>9</v>
      </c>
      <c r="AT30">
        <v>11</v>
      </c>
      <c r="AU30">
        <v>14</v>
      </c>
      <c r="AV30" s="41">
        <v>0</v>
      </c>
      <c r="AW30" s="42">
        <v>0</v>
      </c>
      <c r="DO30">
        <f>IF(AD30="V",1.5*(COUNTA(AF30:AQ30)-1)+((COUNTA(AV30:BM30)+COUNTA(BR30:CE30)+COUNTA(CJ30:CW30)+COUNTA(DB30:DN30)))*2/3,
IF(AD30="H",(COUNTA(AV30:BM30)+COUNTA(BR30:CE30)+COUNTA(CJ30:CW30)+COUNTA(DB30:DN30))*2/3*1.5,IF(OR(AD30="I",AD30="D"),7/6*COUNTA(AV30:BE30),COUNTA(AV30:BE30))))</f>
        <v>2.3333333333333335</v>
      </c>
      <c r="DP30" s="26">
        <f t="shared" ref="DP30:DP34" si="27">(
(AS30-SUM(AV30:BE30)/COUNTA(AV30:BE30))*COUNTA(AV30:BE30)+ (AS30-3)*COUNTA(BJ30:BM30)+
IF(BO30&lt;&gt;"",(BO30-SUM(BR30:CA30)/COUNTA(BR30:CA30))*COUNTA(BR30:CA30),0)+ (BO30-3)*COUNTA(CB30:CE30)+
IF(CG30&lt;&gt;"",(CG30-SUM(CJ30:CS30)/COUNTA(CJ30:CS30))*COUNTA(CJ30:CS30),0)+ (CG30-3)*COUNTA(CT30:CW30)+
IF(CY30&lt;&gt;"",(CY30-SUM(DB30:DK30)/COUNTA(DB30:DK30))*COUNTA(DB30:DK30),0)+ IF(DL30&lt;&gt;"",(CY30-3)*COUNTA(DL30:DN30),0)
)/
(COUNTA(AV30:BM30)+COUNTA(BR30:CE30)+COUNTA(CJ30:CW30)+COUNTA(DB30:DN30))</f>
        <v>9</v>
      </c>
      <c r="DQ30" s="44">
        <f t="shared" ref="DQ30:DQ37" si="28">COUNTA(AV30:BI30)/2</f>
        <v>1</v>
      </c>
      <c r="DR30" s="44">
        <f t="shared" ref="DR30:DR33" si="29">AT30</f>
        <v>11</v>
      </c>
      <c r="DS30" s="44">
        <f t="shared" ref="DS30:DS37" si="30">1.5*COUNTA(AG30:AQ30)+(COUNTA(AV30:BE30)/2+COUNTA(BR30:CA30)/2+COUNTA(CJ30:CS30)/2)/2</f>
        <v>0.5</v>
      </c>
      <c r="DT30" s="44">
        <f>AU30</f>
        <v>14</v>
      </c>
      <c r="DU30">
        <f t="shared" ref="DU30:DU33" si="31">1+(DP30-9.277)/2.111</f>
        <v>0.8687825675035532</v>
      </c>
      <c r="DV30" s="21">
        <f>DO30*(1+(DP30-9.277)/2.111)</f>
        <v>2.0271593241749577</v>
      </c>
      <c r="DW30" s="21">
        <f t="shared" ref="DW30:DW32" si="32">DP30*DV30</f>
        <v>18.244433917574618</v>
      </c>
    </row>
    <row r="31" spans="1:127" x14ac:dyDescent="0.3">
      <c r="A31" t="s">
        <v>664</v>
      </c>
      <c r="B31">
        <v>3</v>
      </c>
      <c r="C31">
        <v>5</v>
      </c>
      <c r="D31">
        <v>20</v>
      </c>
      <c r="E31">
        <v>35</v>
      </c>
      <c r="F31">
        <v>1</v>
      </c>
      <c r="M31">
        <v>55</v>
      </c>
      <c r="O31">
        <v>1</v>
      </c>
      <c r="P31">
        <v>3</v>
      </c>
      <c r="AD31" t="s">
        <v>126</v>
      </c>
      <c r="AS31">
        <v>9</v>
      </c>
      <c r="AT31">
        <v>12</v>
      </c>
      <c r="AU31">
        <v>15</v>
      </c>
      <c r="AV31" s="41">
        <v>0</v>
      </c>
      <c r="AW31" s="54">
        <v>0</v>
      </c>
      <c r="AX31" s="54">
        <v>0</v>
      </c>
      <c r="AY31" s="42">
        <v>0</v>
      </c>
      <c r="DO31">
        <f>IF(AD31="V",1.5*(COUNTA(AF31:AQ31)-1)+((COUNTA(AV31:BM31)+COUNTA(BR31:CE31)+COUNTA(CJ31:CW31)+COUNTA(DB31:DN31)))*2/3,
IF(AD31="H",(COUNTA(AV31:BM31)+COUNTA(BR31:CE31)+COUNTA(CJ31:CW31)+COUNTA(DB31:DN31))*2/3*1.5,IF(OR(AD31="I",AD31="D"),7/6*COUNTA(AV31:BE31),COUNTA(AV31:BE31))))</f>
        <v>4.666666666666667</v>
      </c>
      <c r="DP31" s="26">
        <f t="shared" si="27"/>
        <v>9</v>
      </c>
      <c r="DQ31" s="44">
        <f t="shared" si="28"/>
        <v>2</v>
      </c>
      <c r="DR31" s="44">
        <f t="shared" si="29"/>
        <v>12</v>
      </c>
      <c r="DS31" s="44">
        <f t="shared" si="30"/>
        <v>1</v>
      </c>
      <c r="DT31" s="44">
        <f t="shared" ref="DT31:DT37" si="33">AU31</f>
        <v>15</v>
      </c>
      <c r="DU31">
        <f t="shared" si="31"/>
        <v>0.8687825675035532</v>
      </c>
      <c r="DV31" s="21">
        <f t="shared" ref="DV31:DV37" si="34">DO31*(1+(DP31-9.277)/2.111)</f>
        <v>4.0543186483499154</v>
      </c>
      <c r="DW31" s="21">
        <f t="shared" si="32"/>
        <v>36.488867835149236</v>
      </c>
    </row>
    <row r="32" spans="1:127" x14ac:dyDescent="0.3">
      <c r="A32" t="s">
        <v>661</v>
      </c>
      <c r="B32">
        <v>3</v>
      </c>
      <c r="C32">
        <v>5</v>
      </c>
      <c r="D32">
        <v>20</v>
      </c>
      <c r="E32">
        <v>35</v>
      </c>
      <c r="F32">
        <v>1</v>
      </c>
      <c r="M32">
        <v>55</v>
      </c>
      <c r="O32">
        <v>1</v>
      </c>
      <c r="P32">
        <v>2</v>
      </c>
      <c r="AD32" t="s">
        <v>126</v>
      </c>
      <c r="AS32">
        <v>9</v>
      </c>
      <c r="AT32">
        <v>12</v>
      </c>
      <c r="AU32">
        <v>15</v>
      </c>
      <c r="AV32" s="41">
        <v>0</v>
      </c>
      <c r="AW32" s="54">
        <v>0</v>
      </c>
      <c r="AX32" s="54">
        <v>0</v>
      </c>
      <c r="AY32" s="42">
        <v>0</v>
      </c>
      <c r="DO32">
        <f>IF(AD32="V",1.5*(COUNTA(AF32:AQ32)-1)+((COUNTA(AV32:BM32)+COUNTA(BR32:CE32)+COUNTA(CJ32:CW32)+COUNTA(DB32:DN32)))*2/3,
IF(AD32="H",(COUNTA(AV32:BM32)+COUNTA(BR32:CE32)+COUNTA(CJ32:CW32)+COUNTA(DB32:DN32))*2/3*1.5,IF(OR(AD32="I",AD32="D"),7/6*COUNTA(AV32:BE32),COUNTA(AV32:BE32))))</f>
        <v>4.666666666666667</v>
      </c>
      <c r="DP32" s="26">
        <f t="shared" si="27"/>
        <v>9</v>
      </c>
      <c r="DQ32" s="44">
        <f t="shared" si="28"/>
        <v>2</v>
      </c>
      <c r="DR32" s="44">
        <f t="shared" si="29"/>
        <v>12</v>
      </c>
      <c r="DS32" s="44">
        <f t="shared" si="30"/>
        <v>1</v>
      </c>
      <c r="DT32" s="44">
        <f t="shared" si="33"/>
        <v>15</v>
      </c>
      <c r="DU32">
        <f t="shared" si="31"/>
        <v>0.8687825675035532</v>
      </c>
      <c r="DV32" s="21">
        <f t="shared" si="34"/>
        <v>4.0543186483499154</v>
      </c>
      <c r="DW32" s="21">
        <f t="shared" si="32"/>
        <v>36.488867835149236</v>
      </c>
    </row>
    <row r="33" spans="1:127" x14ac:dyDescent="0.3">
      <c r="A33" t="s">
        <v>662</v>
      </c>
      <c r="B33">
        <v>9</v>
      </c>
      <c r="C33">
        <v>3</v>
      </c>
      <c r="D33">
        <v>20</v>
      </c>
      <c r="E33">
        <v>40</v>
      </c>
      <c r="F33">
        <v>1</v>
      </c>
      <c r="G33">
        <v>2</v>
      </c>
      <c r="M33">
        <v>210</v>
      </c>
      <c r="O33">
        <v>1</v>
      </c>
      <c r="P33">
        <v>1</v>
      </c>
      <c r="AD33" t="s">
        <v>126</v>
      </c>
      <c r="AS33">
        <v>10</v>
      </c>
      <c r="AT33">
        <v>13</v>
      </c>
      <c r="AU33">
        <v>16</v>
      </c>
      <c r="AV33" s="41">
        <v>0</v>
      </c>
      <c r="AW33" s="41">
        <v>0</v>
      </c>
      <c r="AX33">
        <v>0</v>
      </c>
      <c r="AY33">
        <v>0</v>
      </c>
      <c r="AZ33">
        <v>0</v>
      </c>
      <c r="BA33">
        <v>0</v>
      </c>
      <c r="BB33">
        <v>0</v>
      </c>
      <c r="BC33">
        <v>0</v>
      </c>
      <c r="BD33">
        <v>1</v>
      </c>
      <c r="BE33">
        <v>1</v>
      </c>
      <c r="BF33">
        <v>2</v>
      </c>
      <c r="BG33">
        <v>2</v>
      </c>
      <c r="BH33" s="42">
        <v>3</v>
      </c>
      <c r="BI33" s="42">
        <v>3</v>
      </c>
      <c r="BJ33" t="s">
        <v>861</v>
      </c>
      <c r="BK33" t="s">
        <v>858</v>
      </c>
      <c r="BL33" t="s">
        <v>859</v>
      </c>
      <c r="BM33" t="s">
        <v>860</v>
      </c>
      <c r="BR33"/>
      <c r="BS33" s="41"/>
      <c r="BX33" s="42"/>
      <c r="CJ33"/>
      <c r="CK33" s="41"/>
      <c r="CP33" s="42"/>
      <c r="DB33"/>
      <c r="DC33" s="41"/>
      <c r="DO33">
        <f>IF(AD33="V",1.5*(COUNTA(AF33:AQ33)-1)+((COUNTA(AV33:BM33)+COUNTA(BR33:CE33)+COUNTA(CJ33:CW33)+COUNTA(DB33:DN33)))*2/3,
IF(AD33="H",(COUNTA(AV33:BM33)+COUNTA(BR33:CE33)+COUNTA(CJ33:CW33)+COUNTA(DB33:DN33))*2/3*1.5,IF(OR(AD33="I",AD33="D"),7/6*COUNTA(AV33:BE33),COUNTA(AV33:BE33))))</f>
        <v>11.666666666666668</v>
      </c>
      <c r="DP33" s="26">
        <f>(
(AS33-SUM(AV33:BI33)/COUNTA(AV33:BI33))*COUNTA(AV33:BI33)+ (AS33-3)*COUNTA(BJ33:BM33)+
IF(BO33&lt;&gt;"",(BO33-SUM(BR33:CA33)/COUNTA(BR33:CA33))*COUNTA(BR33:CA33),0)+ (BO33-3)*COUNTA(CB33:CE33)+
IF(CG33&lt;&gt;"",(CG33-SUM(CJ33:CS33)/COUNTA(CJ33:CS33))*COUNTA(CJ33:CS33),0)+ (CG33-3)*COUNTA(CT33:CW33)+
IF(CY33&lt;&gt;"",(CY33-SUM(DB33:DK33)/COUNTA(DB33:DK33))*COUNTA(DB33:DK33),0)+ IF(DL33&lt;&gt;"",(CY33-3)*COUNTA(DL33:DN33),0)
)/
(COUNTA(AV33:BM33)+COUNTA(BR33:CE33)+COUNTA(CJ33:CW33)+COUNTA(DB33:DN33))</f>
        <v>8.6666666666666661</v>
      </c>
      <c r="DQ33" s="44">
        <f t="shared" si="28"/>
        <v>7</v>
      </c>
      <c r="DR33" s="44">
        <f t="shared" si="29"/>
        <v>13</v>
      </c>
      <c r="DS33" s="44">
        <f t="shared" si="30"/>
        <v>2.5</v>
      </c>
      <c r="DT33" s="44">
        <f t="shared" si="33"/>
        <v>16</v>
      </c>
      <c r="DU33">
        <f t="shared" si="31"/>
        <v>0.71087951997473564</v>
      </c>
      <c r="DV33" s="21">
        <f t="shared" si="34"/>
        <v>8.2935943997052508</v>
      </c>
      <c r="DW33" s="21">
        <f>DP33*DV33</f>
        <v>71.877818130778834</v>
      </c>
    </row>
    <row r="34" spans="1:127" x14ac:dyDescent="0.3">
      <c r="A34" t="s">
        <v>807</v>
      </c>
      <c r="B34">
        <v>2</v>
      </c>
      <c r="C34">
        <v>7</v>
      </c>
      <c r="D34">
        <v>11</v>
      </c>
      <c r="E34">
        <v>11</v>
      </c>
      <c r="H34">
        <v>4</v>
      </c>
      <c r="I34">
        <v>4</v>
      </c>
      <c r="M34">
        <v>20</v>
      </c>
      <c r="O34">
        <v>2</v>
      </c>
      <c r="P34">
        <v>4</v>
      </c>
      <c r="Q34">
        <v>10</v>
      </c>
      <c r="AD34">
        <v>0</v>
      </c>
      <c r="AS34">
        <v>9</v>
      </c>
      <c r="AT34">
        <v>11</v>
      </c>
      <c r="AU34">
        <v>13</v>
      </c>
      <c r="AV34" s="41">
        <v>0</v>
      </c>
      <c r="AW34" s="42">
        <v>0</v>
      </c>
      <c r="BA34" s="42"/>
      <c r="BR34"/>
      <c r="BS34" s="41"/>
      <c r="BX34" s="42"/>
      <c r="CJ34"/>
      <c r="CK34" s="41"/>
      <c r="CP34" s="42"/>
      <c r="DB34"/>
      <c r="DC34" s="41"/>
      <c r="DO34">
        <f t="shared" ref="DO34" si="35">IF(AD34="V",1.5*(COUNTA(AF34:AQ34)-1)+((COUNTA(AV34:BM34)+COUNTA(BR34:CE34)+COUNTA(CJ34:CW34)+COUNTA(DB34:DN34)))*2/3,
IF(AD34="H",(COUNTA(AV34:BM34)+COUNTA(BR34:CE34)+COUNTA(CJ34:CW34)+COUNTA(DB34:DN34))*2/3*1.5,IF(OR(AD34="I",AD34="D"),7/6*COUNTA(AV34:BE34),COUNTA(AV34:BE34))))</f>
        <v>2</v>
      </c>
      <c r="DP34" s="26">
        <f t="shared" si="27"/>
        <v>9</v>
      </c>
      <c r="DQ34" s="44">
        <f t="shared" si="28"/>
        <v>1</v>
      </c>
      <c r="DR34" s="44">
        <f t="shared" ref="DR34:DR37" si="36">AT34</f>
        <v>11</v>
      </c>
      <c r="DS34" s="44">
        <f t="shared" si="30"/>
        <v>0.5</v>
      </c>
      <c r="DT34" s="44">
        <f t="shared" si="33"/>
        <v>13</v>
      </c>
      <c r="DU34">
        <f t="shared" ref="DU34:DU37" si="37">1+(DP34-9.277)/2.111</f>
        <v>0.8687825675035532</v>
      </c>
      <c r="DV34" s="21">
        <f t="shared" si="34"/>
        <v>1.7375651350071064</v>
      </c>
      <c r="DW34" s="21"/>
    </row>
    <row r="35" spans="1:127" x14ac:dyDescent="0.3">
      <c r="A35" t="s">
        <v>706</v>
      </c>
      <c r="B35">
        <v>2</v>
      </c>
      <c r="C35">
        <v>7</v>
      </c>
      <c r="D35">
        <v>11</v>
      </c>
      <c r="E35">
        <v>11</v>
      </c>
      <c r="H35">
        <v>4</v>
      </c>
      <c r="I35">
        <v>4</v>
      </c>
      <c r="M35">
        <v>25</v>
      </c>
      <c r="O35">
        <v>3</v>
      </c>
      <c r="P35">
        <v>9</v>
      </c>
      <c r="Q35">
        <v>10</v>
      </c>
      <c r="AD35">
        <v>0</v>
      </c>
      <c r="AS35">
        <v>9</v>
      </c>
      <c r="AT35">
        <v>11</v>
      </c>
      <c r="AU35">
        <v>14</v>
      </c>
      <c r="AV35" s="41">
        <v>0</v>
      </c>
      <c r="AW35" s="53">
        <v>0</v>
      </c>
      <c r="AX35" s="42">
        <v>0</v>
      </c>
      <c r="DO35">
        <f>IF(AD35="V",1.5*(COUNTA(AF35:AQ35)-1)+((COUNTA(AV35:BM35)+COUNTA(BR35:CE35)+COUNTA(CJ35:CW35)+COUNTA(DB35:DN35)))*2/3,
IF(AD35="H",(COUNTA(AV35:BM35)+COUNTA(BR35:CE35)+COUNTA(CJ35:CW35)+COUNTA(DB35:DN35))*2/3*1.5,IF(OR(AD35="I",AD35="D"),7/6*COUNTA(AV35:BE35),COUNTA(AV35:BE35))))</f>
        <v>3</v>
      </c>
      <c r="DP35" s="26">
        <f>(
(AS35-SUM(AV35:BE35)/COUNTA(AV35:BE35))*COUNTA(AV35:BE35)+ (AS35-3)*COUNTA(BJ35:BM35)+
IF(BO35&lt;&gt;"",(BO35-SUM(BR35:CA35)/COUNTA(BR35:CA35))*COUNTA(BR35:CA35),0)+ (BO35-3)*COUNTA(CB35:CE35)+
IF(CG35&lt;&gt;"",(CG35-SUM(CJ35:CS35)/COUNTA(CJ35:CS35))*COUNTA(CJ35:CS35),0)+ (CG35-3)*COUNTA(CT35:CW35)+
IF(CY35&lt;&gt;"",(CY35-SUM(DC35:DK35)/COUNTA(DC35:DK35))*COUNTA(DC35:DK35),0)+ IF(DL35&lt;&gt;"",(CY35-3)*COUNTA(DL35:DN35),0)
)/
(COUNTA(AV35:BM35)+COUNTA(BR35:CE35)+COUNTA(CJ35:CW35)+COUNTA(DC35:DN35))</f>
        <v>9</v>
      </c>
      <c r="DQ35" s="44">
        <f t="shared" si="28"/>
        <v>1.5</v>
      </c>
      <c r="DR35" s="44">
        <f t="shared" si="36"/>
        <v>11</v>
      </c>
      <c r="DS35" s="44">
        <f t="shared" si="30"/>
        <v>0.75</v>
      </c>
      <c r="DT35" s="44">
        <f t="shared" si="33"/>
        <v>14</v>
      </c>
      <c r="DU35">
        <f t="shared" si="37"/>
        <v>0.8687825675035532</v>
      </c>
      <c r="DV35" s="21">
        <f t="shared" si="34"/>
        <v>2.6063477025106598</v>
      </c>
    </row>
    <row r="36" spans="1:127" x14ac:dyDescent="0.3">
      <c r="A36" t="s">
        <v>705</v>
      </c>
      <c r="B36">
        <v>4</v>
      </c>
      <c r="C36">
        <v>5</v>
      </c>
      <c r="D36">
        <v>9</v>
      </c>
      <c r="E36">
        <v>9</v>
      </c>
      <c r="H36">
        <v>4</v>
      </c>
      <c r="I36">
        <v>4</v>
      </c>
      <c r="M36">
        <v>60</v>
      </c>
      <c r="O36">
        <v>2</v>
      </c>
      <c r="P36">
        <v>4</v>
      </c>
      <c r="Q36">
        <v>10</v>
      </c>
      <c r="AD36">
        <v>0</v>
      </c>
      <c r="AS36">
        <v>9</v>
      </c>
      <c r="AT36">
        <v>13</v>
      </c>
      <c r="AU36">
        <v>16</v>
      </c>
      <c r="AV36" s="41">
        <v>0</v>
      </c>
      <c r="AW36" s="55">
        <v>0</v>
      </c>
      <c r="AX36" s="53">
        <v>0</v>
      </c>
      <c r="AY36" s="53">
        <v>0</v>
      </c>
      <c r="AZ36" s="42">
        <v>0</v>
      </c>
      <c r="DO36">
        <f>IF(AD36="V",1.5*(COUNTA(AF36:AQ36)-1)+((COUNTA(AV36:BM36)+COUNTA(BR36:CE36)+COUNTA(CJ36:CW36)+COUNTA(DB36:DN36)))*2/3,
IF(AD36="H",(COUNTA(AV36:BM36)+COUNTA(BR36:CE36)+COUNTA(CJ36:CW36)+COUNTA(DB36:DN36))*2/3*1.5,IF(OR(AD36="I",AD36="D"),7/6*COUNTA(AV36:BE36),COUNTA(AV36:BE36))))</f>
        <v>5</v>
      </c>
      <c r="DP36" s="26">
        <f>(
(AS36-SUM(AV36:BE36)/COUNTA(AV36:BE36))*COUNTA(AV36:BE36)+ (AS36-3)*COUNTA(BJ36:BM36)+
IF(BO36&lt;&gt;"",(BO36-SUM(BR36:CA36)/COUNTA(BR36:CA36))*COUNTA(BR36:CA36),0)+ (BO36-3)*COUNTA(CB36:CE36)+
IF(CG36&lt;&gt;"",(CG36-SUM(CJ36:CS36)/COUNTA(CJ36:CS36))*COUNTA(CJ36:CS36),0)+ (CG36-3)*COUNTA(CT36:CW36)+
IF(CY36&lt;&gt;"",(CY36-SUM(DC36:DK36)/COUNTA(DC36:DK36))*COUNTA(DC36:DK36),0)+ IF(DL36&lt;&gt;"",(CY36-3)*COUNTA(DL36:DN36),0)
)/
(COUNTA(AV36:BM36)+COUNTA(BR36:CE36)+COUNTA(CJ36:CW36)+COUNTA(DC36:DN36))</f>
        <v>9</v>
      </c>
      <c r="DQ36" s="44">
        <f t="shared" si="28"/>
        <v>2.5</v>
      </c>
      <c r="DR36" s="44">
        <f t="shared" si="36"/>
        <v>13</v>
      </c>
      <c r="DS36" s="44">
        <f t="shared" si="30"/>
        <v>1.25</v>
      </c>
      <c r="DT36" s="44">
        <f t="shared" si="33"/>
        <v>16</v>
      </c>
      <c r="DU36">
        <f t="shared" si="37"/>
        <v>0.8687825675035532</v>
      </c>
      <c r="DV36" s="21">
        <f t="shared" si="34"/>
        <v>4.3439128375177658</v>
      </c>
    </row>
    <row r="37" spans="1:127" x14ac:dyDescent="0.3">
      <c r="A37" t="s">
        <v>665</v>
      </c>
      <c r="B37">
        <v>5</v>
      </c>
      <c r="C37">
        <v>5</v>
      </c>
      <c r="D37">
        <v>7</v>
      </c>
      <c r="E37">
        <v>7</v>
      </c>
      <c r="H37">
        <v>4</v>
      </c>
      <c r="I37">
        <v>5</v>
      </c>
      <c r="K37" t="s">
        <v>668</v>
      </c>
      <c r="M37">
        <v>130</v>
      </c>
      <c r="O37">
        <v>1</v>
      </c>
      <c r="P37">
        <v>2</v>
      </c>
      <c r="Q37">
        <v>20</v>
      </c>
      <c r="AD37" t="s">
        <v>126</v>
      </c>
      <c r="AS37">
        <v>10</v>
      </c>
      <c r="AT37">
        <v>15</v>
      </c>
      <c r="AU37">
        <v>17</v>
      </c>
      <c r="AV37" s="41">
        <v>0</v>
      </c>
      <c r="AW37" s="55">
        <v>0</v>
      </c>
      <c r="AX37" s="54">
        <v>0</v>
      </c>
      <c r="AY37" s="54">
        <v>0</v>
      </c>
      <c r="AZ37" s="53">
        <v>0</v>
      </c>
      <c r="BA37" s="53">
        <v>0</v>
      </c>
      <c r="BB37" s="42">
        <v>0</v>
      </c>
      <c r="DO37">
        <f t="shared" ref="DO37" si="38">IF(AD37="V",1.5*(COUNTA(AF37:AQ37)-1)+((COUNTA(AV37:BM37)+COUNTA(BR37:CE37)+COUNTA(CJ37:CW37)+COUNTA(DB37:DN37)))*2/3,
IF(AD37="H",(COUNTA(AV37:BM37)+COUNTA(BR37:CE37)+COUNTA(CJ37:CW37)+COUNTA(DB37:DN37))*2/3*1.5,IF(OR(AD37="I",AD37="D"),7/6*COUNTA(AV37:BE37),COUNTA(AV37:BE37))))</f>
        <v>8.1666666666666679</v>
      </c>
      <c r="DP37" s="26">
        <f>(
(AS37-SUM(AV37:BE37)/COUNTA(AV37:BE37))*COUNTA(AV37:BE37)+ (AS37-3)*COUNTA(BJ37:BM37)+
IF(BO37&lt;&gt;"",(BO37-SUM(BR37:CA37)/COUNTA(BR37:CA37))*COUNTA(BR37:CA37),0)+ (BO37-3)*COUNTA(CB37:CE37)+
IF(CG37&lt;&gt;"",(CG37-SUM(CJ37:CS37)/COUNTA(CJ37:CS37))*COUNTA(CJ37:CS37),0)+ (CG37-3)*COUNTA(CT37:CW37)+
IF(CY37&lt;&gt;"",(CY37-SUM(DC37:DK37)/COUNTA(DC37:DK37))*COUNTA(DC37:DK37),0)+ IF(DL37&lt;&gt;"",(CY37-3)*COUNTA(DL37:DN37),0)
)/
(COUNTA(AV37:BM37)+COUNTA(BR37:CE37)+COUNTA(CJ37:CW37)+COUNTA(DC37:DN37))</f>
        <v>10</v>
      </c>
      <c r="DQ37" s="44">
        <f t="shared" si="28"/>
        <v>3.5</v>
      </c>
      <c r="DR37" s="44">
        <f t="shared" si="36"/>
        <v>15</v>
      </c>
      <c r="DS37" s="44">
        <f t="shared" si="30"/>
        <v>1.75</v>
      </c>
      <c r="DT37" s="44">
        <f t="shared" si="33"/>
        <v>17</v>
      </c>
      <c r="DU37">
        <f t="shared" si="37"/>
        <v>1.3424917100900051</v>
      </c>
      <c r="DV37" s="21">
        <f t="shared" si="34"/>
        <v>10.963682299068378</v>
      </c>
    </row>
    <row r="43" spans="1:127" x14ac:dyDescent="0.3">
      <c r="A43" s="6" t="s">
        <v>852</v>
      </c>
    </row>
    <row r="44" spans="1:127" x14ac:dyDescent="0.3">
      <c r="A44" t="s">
        <v>853</v>
      </c>
      <c r="B44">
        <v>5</v>
      </c>
      <c r="C44">
        <v>5</v>
      </c>
      <c r="D44">
        <v>7</v>
      </c>
      <c r="E44">
        <v>7</v>
      </c>
      <c r="H44">
        <v>4</v>
      </c>
      <c r="I44">
        <v>5</v>
      </c>
      <c r="M44">
        <v>70</v>
      </c>
      <c r="O44">
        <v>1</v>
      </c>
      <c r="P44">
        <v>3</v>
      </c>
      <c r="Q44">
        <v>20</v>
      </c>
      <c r="AD44">
        <v>0</v>
      </c>
      <c r="AS44">
        <v>10</v>
      </c>
      <c r="AT44">
        <v>14</v>
      </c>
      <c r="AU44">
        <v>17</v>
      </c>
      <c r="AV44" s="41">
        <v>0</v>
      </c>
      <c r="AW44" s="55">
        <v>0</v>
      </c>
      <c r="AX44" s="54">
        <v>0</v>
      </c>
      <c r="AY44" s="54">
        <v>0</v>
      </c>
      <c r="AZ44" s="53">
        <v>0</v>
      </c>
      <c r="BA44" s="53">
        <v>0</v>
      </c>
      <c r="BB44" s="42">
        <v>0</v>
      </c>
      <c r="DO44">
        <f>IF(AD44="V",1.5*(COUNTA(AF44:AQ44)-1)+((COUNTA(AV44:BM44)+COUNTA(BR44:CE44)+COUNTA(CJ44:CW44)+COUNTA(DB44:DN44)))*2/3,
IF(AD44="H",(COUNTA(AV44:BM44)+COUNTA(BR44:CE44)+COUNTA(CJ44:CW44)+COUNTA(DB44:DN44))*2/3*1.5,IF(OR(AD44="I",AD44="D"),7/6*COUNTA(AV44:BE44),COUNTA(AV44:BE44))))</f>
        <v>7</v>
      </c>
      <c r="DP44" s="26">
        <f>(
(AS44-SUM(AV44:BE44)/COUNTA(AV44:BE44))*COUNTA(AV44:BE44)+ (AS44-3)*COUNTA(BJ44:BM44)+
IF(BO44&lt;&gt;"",(BO44-SUM(BR44:CA44)/COUNTA(BR44:CA44))*COUNTA(BR44:CA44),0)+ (BO44-3)*COUNTA(CB44:CE44)+
IF(CG44&lt;&gt;"",(CG44-SUM(CJ44:CS44)/COUNTA(CJ44:CS44))*COUNTA(CJ44:CS44),0)+ (CG44-3)*COUNTA(CT44:CW44)+
IF(CY44&lt;&gt;"",(CY44-SUM(DC44:DK44)/COUNTA(DC44:DK44))*COUNTA(DC44:DK44),0)+ IF(DL44&lt;&gt;"",(CY44-3)*COUNTA(DL44:DN44),0)
)/
(COUNTA(AV44:BM44)+COUNTA(BR44:CE44)+COUNTA(CJ44:CW44)+COUNTA(DC44:DN44))</f>
        <v>10</v>
      </c>
      <c r="DQ44" s="44">
        <f t="shared" ref="DQ44" si="39">1.5*COUNTA(AG44:AQ44)+(COUNTA(AV44:BE44)/2+COUNTA(BJ44:BM44)+COUNTA(BR44:CA44)/2+COUNTA(CB44:CE44)+COUNTA(CJ44:CS44)/2+COUNTA(CT44:CW44))/2</f>
        <v>1.75</v>
      </c>
      <c r="DR44" s="44">
        <f>(AT44+BP44+CH44)/3</f>
        <v>4.666666666666667</v>
      </c>
      <c r="DS44" s="44">
        <f t="shared" ref="DS44" si="40">1.5*COUNTA(AG44:AQ44)+(COUNTA(AV44:BE44)/2+COUNTA(BR44:CA44)/2+COUNTA(CJ44:CS44)/2)/2</f>
        <v>1.75</v>
      </c>
      <c r="DT44" s="44">
        <f>(AU44+BQ44+CI44)/3</f>
        <v>5.666666666666667</v>
      </c>
      <c r="DU44">
        <f t="shared" ref="DU44" si="41">1+(DP44-9.277)/2.111</f>
        <v>1.3424917100900051</v>
      </c>
      <c r="DV44" s="21">
        <f t="shared" ref="DV44" si="42">DO44*(1+(DP44-9.277)/2.111)</f>
        <v>9.3974419706300356</v>
      </c>
    </row>
    <row r="45" spans="1:127" x14ac:dyDescent="0.3">
      <c r="A45" t="s">
        <v>854</v>
      </c>
      <c r="B45">
        <v>5</v>
      </c>
      <c r="C45">
        <v>5</v>
      </c>
      <c r="D45">
        <v>10</v>
      </c>
      <c r="E45">
        <v>10</v>
      </c>
      <c r="H45">
        <v>4</v>
      </c>
      <c r="I45">
        <v>5</v>
      </c>
      <c r="M45">
        <v>70</v>
      </c>
      <c r="O45">
        <v>1</v>
      </c>
      <c r="P45">
        <v>3</v>
      </c>
      <c r="Q45">
        <v>20</v>
      </c>
      <c r="AD45" t="s">
        <v>610</v>
      </c>
      <c r="AS45">
        <v>10</v>
      </c>
      <c r="AT45">
        <v>14</v>
      </c>
      <c r="AU45">
        <v>17</v>
      </c>
      <c r="AV45" s="41">
        <v>0</v>
      </c>
      <c r="AW45" s="55">
        <v>0</v>
      </c>
      <c r="AX45" s="54">
        <v>0</v>
      </c>
      <c r="AY45" s="53">
        <v>0</v>
      </c>
      <c r="AZ45" s="53">
        <v>0</v>
      </c>
      <c r="BA45" s="42">
        <v>0</v>
      </c>
      <c r="BB45" s="42"/>
      <c r="DO45">
        <f>IF(AD45="V",1.5*(COUNTA(AF45:AQ45)-1)+((COUNTA(AV45:BM45)+COUNTA(BR45:CE45)+COUNTA(CJ45:CW45)+COUNTA(DB45:DN45)))*2/3,
IF(AD45="H",(COUNTA(AV45:BM45)+COUNTA(BR45:CE45)+COUNTA(CJ45:CW45)+COUNTA(DB45:DN45))*2/3*1.5,IF(OR(AD45="I",AD45="D"),7/6*COUNTA(AV45:BE45),COUNTA(AV45:BE45))))</f>
        <v>6</v>
      </c>
      <c r="DP45" s="26">
        <f>(
(AS45-SUM(AV45:BE45)/COUNTA(AV45:BE45))*COUNTA(AV45:BE45)+ (AS45-3)*COUNTA(BJ45:BM45)+
IF(BO45&lt;&gt;"",(BO45-SUM(BR45:CA45)/COUNTA(BR45:CA45))*COUNTA(BR45:CA45),0)+ (BO45-3)*COUNTA(CB45:CE45)+
IF(CG45&lt;&gt;"",(CG45-SUM(CJ45:CS45)/COUNTA(CJ45:CS45))*COUNTA(CJ45:CS45),0)+ (CG45-3)*COUNTA(CT45:CW45)+
IF(CY45&lt;&gt;"",(CY45-SUM(DC45:DK45)/COUNTA(DC45:DK45))*COUNTA(DC45:DK45),0)+ IF(DL45&lt;&gt;"",(CY45-3)*COUNTA(DL45:DN45),0)
)/
(COUNTA(AV45:BM45)+COUNTA(BR45:CE45)+COUNTA(CJ45:CW45)+COUNTA(DC45:DN45))</f>
        <v>10</v>
      </c>
      <c r="DQ45" s="44">
        <f t="shared" ref="DQ45" si="43">1.5*COUNTA(AG45:AQ45)+(COUNTA(AV45:BE45)/2+COUNTA(BJ45:BM45)+COUNTA(BR45:CA45)/2+COUNTA(CB45:CE45)+COUNTA(CJ45:CS45)/2+COUNTA(CT45:CW45))/2</f>
        <v>1.5</v>
      </c>
      <c r="DR45" s="44">
        <f>(AT45+BP45+CH45)/3</f>
        <v>4.666666666666667</v>
      </c>
      <c r="DS45" s="44">
        <f t="shared" ref="DS45" si="44">1.5*COUNTA(AG45:AQ45)+(COUNTA(AV45:BE45)/2+COUNTA(BR45:CA45)/2+COUNTA(CJ45:CS45)/2)/2</f>
        <v>1.5</v>
      </c>
      <c r="DT45" s="44">
        <f>(AU45+BQ45+CI45)/3</f>
        <v>5.666666666666667</v>
      </c>
      <c r="DU45">
        <f t="shared" ref="DU45" si="45">1+(DP45-9.277)/2.111</f>
        <v>1.3424917100900051</v>
      </c>
      <c r="DV45" s="21">
        <f t="shared" ref="DV45" si="46">DO45*(1+(DP45-9.277)/2.111)</f>
        <v>8.0549502605400303</v>
      </c>
    </row>
  </sheetData>
  <pageMargins left="0.7" right="0.7" top="0.75" bottom="0.75" header="0.3" footer="0.3"/>
  <pageSetup paperSize="9"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369F9-28D9-4666-BDEB-9B86A61D04EC}">
  <dimension ref="A2:AV285"/>
  <sheetViews>
    <sheetView zoomScale="80" zoomScaleNormal="80" workbookViewId="0">
      <pane xSplit="1" ySplit="24" topLeftCell="L25" activePane="bottomRight" state="frozen"/>
      <selection pane="topRight" activeCell="B1" sqref="B1"/>
      <selection pane="bottomLeft" activeCell="A25" sqref="A25"/>
      <selection pane="bottomRight" activeCell="AI26" sqref="AI26"/>
    </sheetView>
  </sheetViews>
  <sheetFormatPr defaultRowHeight="14.4" x14ac:dyDescent="0.3"/>
  <cols>
    <col min="1" max="1" width="35.77734375" bestFit="1" customWidth="1"/>
    <col min="2" max="3" width="6.6640625" style="3" customWidth="1"/>
    <col min="4" max="5" width="8.6640625" style="3" customWidth="1"/>
    <col min="6" max="7" width="6.6640625" style="3" customWidth="1"/>
    <col min="8" max="9" width="8.77734375" style="3"/>
    <col min="10" max="10" width="18.77734375" style="3" bestFit="1" customWidth="1"/>
    <col min="11" max="11" width="8.77734375" style="3"/>
    <col min="12" max="12" width="38.44140625" style="3" bestFit="1" customWidth="1"/>
    <col min="13" max="20" width="8.77734375" style="3"/>
    <col min="21" max="21" width="37.33203125" customWidth="1"/>
    <col min="22" max="22" width="6.33203125" customWidth="1"/>
    <col min="23" max="43" width="5.6640625" customWidth="1"/>
    <col min="47" max="47" width="15.6640625" customWidth="1"/>
    <col min="48" max="48" width="10.6640625" style="2" customWidth="1"/>
  </cols>
  <sheetData>
    <row r="2" spans="21:43" ht="7.95" customHeight="1" x14ac:dyDescent="0.3">
      <c r="U2" s="13" t="s">
        <v>312</v>
      </c>
      <c r="V2" s="14"/>
      <c r="W2" s="14"/>
      <c r="X2" s="14"/>
      <c r="Y2" s="14"/>
      <c r="Z2" s="14" t="s">
        <v>126</v>
      </c>
      <c r="AA2" s="14" t="s">
        <v>126</v>
      </c>
      <c r="AB2" s="14" t="s">
        <v>126</v>
      </c>
      <c r="AC2" s="14" t="s">
        <v>158</v>
      </c>
      <c r="AD2" s="14" t="s">
        <v>158</v>
      </c>
      <c r="AE2" s="14" t="s">
        <v>320</v>
      </c>
      <c r="AF2" s="14" t="s">
        <v>320</v>
      </c>
      <c r="AG2" s="11"/>
      <c r="AH2" s="11"/>
      <c r="AI2" s="14"/>
      <c r="AJ2" s="14"/>
      <c r="AK2" s="14" t="s">
        <v>126</v>
      </c>
      <c r="AL2" s="14" t="s">
        <v>126</v>
      </c>
      <c r="AM2" s="14" t="s">
        <v>126</v>
      </c>
      <c r="AN2" s="14" t="s">
        <v>158</v>
      </c>
      <c r="AO2" s="14" t="s">
        <v>158</v>
      </c>
      <c r="AP2" s="14" t="s">
        <v>320</v>
      </c>
      <c r="AQ2" s="14" t="s">
        <v>320</v>
      </c>
    </row>
    <row r="3" spans="21:43" ht="7.95" customHeight="1" x14ac:dyDescent="0.3">
      <c r="U3" s="13" t="s">
        <v>314</v>
      </c>
      <c r="V3" s="14"/>
      <c r="W3" s="14"/>
      <c r="X3" s="14"/>
      <c r="Y3" s="14" t="s">
        <v>126</v>
      </c>
      <c r="Z3" s="14" t="s">
        <v>126</v>
      </c>
      <c r="AA3" s="14" t="s">
        <v>158</v>
      </c>
      <c r="AB3" s="14" t="s">
        <v>158</v>
      </c>
      <c r="AC3" s="14" t="s">
        <v>320</v>
      </c>
      <c r="AD3" s="14" t="s">
        <v>320</v>
      </c>
      <c r="AE3" s="14" t="s">
        <v>320</v>
      </c>
      <c r="AF3" s="14" t="s">
        <v>320</v>
      </c>
      <c r="AG3" s="11"/>
      <c r="AH3" s="11"/>
      <c r="AI3" s="14"/>
      <c r="AJ3" s="14" t="s">
        <v>126</v>
      </c>
      <c r="AK3" s="14" t="s">
        <v>126</v>
      </c>
      <c r="AL3" s="14" t="s">
        <v>158</v>
      </c>
      <c r="AM3" s="14" t="s">
        <v>158</v>
      </c>
      <c r="AN3" s="14" t="s">
        <v>320</v>
      </c>
      <c r="AO3" s="14" t="s">
        <v>320</v>
      </c>
      <c r="AP3" s="14" t="s">
        <v>320</v>
      </c>
      <c r="AQ3" s="14" t="s">
        <v>320</v>
      </c>
    </row>
    <row r="4" spans="21:43" ht="7.95" customHeight="1" x14ac:dyDescent="0.3">
      <c r="U4" s="13" t="s">
        <v>313</v>
      </c>
      <c r="V4" s="14"/>
      <c r="W4" s="14"/>
      <c r="X4" s="14"/>
      <c r="Y4" s="14" t="s">
        <v>126</v>
      </c>
      <c r="Z4" s="14" t="s">
        <v>126</v>
      </c>
      <c r="AA4" s="14" t="s">
        <v>126</v>
      </c>
      <c r="AB4" s="14" t="s">
        <v>158</v>
      </c>
      <c r="AC4" s="14" t="s">
        <v>158</v>
      </c>
      <c r="AD4" s="14" t="s">
        <v>320</v>
      </c>
      <c r="AE4" s="14" t="s">
        <v>320</v>
      </c>
      <c r="AF4" s="14" t="s">
        <v>320</v>
      </c>
      <c r="AG4" s="11"/>
      <c r="AH4" s="11"/>
      <c r="AI4" s="14"/>
      <c r="AJ4" s="14" t="s">
        <v>126</v>
      </c>
      <c r="AK4" s="14" t="s">
        <v>126</v>
      </c>
      <c r="AL4" s="14" t="s">
        <v>126</v>
      </c>
      <c r="AM4" s="14" t="s">
        <v>158</v>
      </c>
      <c r="AN4" s="14" t="s">
        <v>158</v>
      </c>
      <c r="AO4" s="14" t="s">
        <v>320</v>
      </c>
      <c r="AP4" s="14" t="s">
        <v>320</v>
      </c>
      <c r="AQ4" s="14" t="s">
        <v>320</v>
      </c>
    </row>
    <row r="5" spans="21:43" ht="7.95" customHeight="1" x14ac:dyDescent="0.3">
      <c r="U5" s="13" t="s">
        <v>315</v>
      </c>
      <c r="V5" s="14"/>
      <c r="W5" s="14"/>
      <c r="X5" s="14" t="s">
        <v>29</v>
      </c>
      <c r="Y5" s="14" t="s">
        <v>29</v>
      </c>
      <c r="Z5" s="14" t="s">
        <v>29</v>
      </c>
      <c r="AA5" s="14" t="s">
        <v>29</v>
      </c>
      <c r="AB5" s="14" t="s">
        <v>29</v>
      </c>
      <c r="AC5" s="14" t="s">
        <v>29</v>
      </c>
      <c r="AD5" s="14" t="s">
        <v>29</v>
      </c>
      <c r="AE5" s="14" t="s">
        <v>29</v>
      </c>
      <c r="AF5" s="14" t="s">
        <v>29</v>
      </c>
      <c r="AG5" s="11"/>
      <c r="AH5" s="11"/>
      <c r="AI5" s="14" t="s">
        <v>29</v>
      </c>
      <c r="AJ5" s="14" t="s">
        <v>29</v>
      </c>
      <c r="AK5" s="14" t="s">
        <v>29</v>
      </c>
      <c r="AL5" s="14" t="s">
        <v>29</v>
      </c>
      <c r="AM5" s="14" t="s">
        <v>29</v>
      </c>
      <c r="AN5" s="14" t="s">
        <v>29</v>
      </c>
      <c r="AO5" s="14" t="s">
        <v>29</v>
      </c>
      <c r="AP5" s="14" t="s">
        <v>29</v>
      </c>
      <c r="AQ5" s="14" t="s">
        <v>29</v>
      </c>
    </row>
    <row r="6" spans="21:43" ht="7.95" customHeight="1" x14ac:dyDescent="0.3">
      <c r="U6" s="13" t="s">
        <v>375</v>
      </c>
      <c r="V6" s="14"/>
      <c r="W6" s="14"/>
      <c r="X6" s="14"/>
      <c r="Y6" s="14"/>
      <c r="Z6" s="14" t="s">
        <v>126</v>
      </c>
      <c r="AA6" s="14" t="s">
        <v>126</v>
      </c>
      <c r="AB6" s="14" t="s">
        <v>126</v>
      </c>
      <c r="AC6" s="14" t="s">
        <v>158</v>
      </c>
      <c r="AD6" s="14" t="s">
        <v>158</v>
      </c>
      <c r="AE6" s="14" t="s">
        <v>320</v>
      </c>
      <c r="AF6" s="14" t="s">
        <v>320</v>
      </c>
      <c r="AG6" s="11"/>
      <c r="AH6" s="11"/>
      <c r="AI6" s="14"/>
      <c r="AJ6" s="14"/>
      <c r="AK6" s="14" t="s">
        <v>126</v>
      </c>
      <c r="AL6" s="14" t="s">
        <v>126</v>
      </c>
      <c r="AM6" s="14" t="s">
        <v>126</v>
      </c>
      <c r="AN6" s="14" t="s">
        <v>158</v>
      </c>
      <c r="AO6" s="14" t="s">
        <v>158</v>
      </c>
      <c r="AP6" s="14" t="s">
        <v>320</v>
      </c>
      <c r="AQ6" s="14" t="s">
        <v>320</v>
      </c>
    </row>
    <row r="7" spans="21:43" ht="7.95" customHeight="1" x14ac:dyDescent="0.3">
      <c r="U7" s="13" t="s">
        <v>376</v>
      </c>
      <c r="V7" s="14"/>
      <c r="W7" s="14"/>
      <c r="X7" s="14"/>
      <c r="Y7" s="14" t="s">
        <v>126</v>
      </c>
      <c r="Z7" s="14" t="s">
        <v>126</v>
      </c>
      <c r="AA7" s="14" t="s">
        <v>126</v>
      </c>
      <c r="AB7" s="14" t="s">
        <v>158</v>
      </c>
      <c r="AC7" s="14" t="s">
        <v>158</v>
      </c>
      <c r="AD7" s="14" t="s">
        <v>320</v>
      </c>
      <c r="AE7" s="14" t="s">
        <v>320</v>
      </c>
      <c r="AF7" s="14" t="s">
        <v>320</v>
      </c>
      <c r="AG7" s="11"/>
      <c r="AH7" s="11"/>
      <c r="AI7" s="14"/>
      <c r="AJ7" s="14" t="s">
        <v>126</v>
      </c>
      <c r="AK7" s="14" t="s">
        <v>126</v>
      </c>
      <c r="AL7" s="14" t="s">
        <v>126</v>
      </c>
      <c r="AM7" s="14" t="s">
        <v>158</v>
      </c>
      <c r="AN7" s="14" t="s">
        <v>158</v>
      </c>
      <c r="AO7" s="14" t="s">
        <v>320</v>
      </c>
      <c r="AP7" s="14" t="s">
        <v>320</v>
      </c>
      <c r="AQ7" s="14" t="s">
        <v>320</v>
      </c>
    </row>
    <row r="8" spans="21:43" ht="7.95" customHeight="1" x14ac:dyDescent="0.3">
      <c r="U8" s="13" t="s">
        <v>377</v>
      </c>
      <c r="V8" s="14"/>
      <c r="W8" s="14"/>
      <c r="X8" s="14"/>
      <c r="Y8" s="14"/>
      <c r="Z8" s="14" t="s">
        <v>126</v>
      </c>
      <c r="AA8" s="14" t="s">
        <v>126</v>
      </c>
      <c r="AB8" s="14" t="s">
        <v>158</v>
      </c>
      <c r="AC8" s="14" t="s">
        <v>158</v>
      </c>
      <c r="AD8" s="14" t="s">
        <v>320</v>
      </c>
      <c r="AE8" s="14" t="s">
        <v>320</v>
      </c>
      <c r="AF8" s="14" t="s">
        <v>320</v>
      </c>
      <c r="AG8" s="11"/>
      <c r="AH8" s="11"/>
      <c r="AI8" s="14"/>
      <c r="AJ8" s="14"/>
      <c r="AK8" s="14" t="s">
        <v>126</v>
      </c>
      <c r="AL8" s="14" t="s">
        <v>126</v>
      </c>
      <c r="AM8" s="14" t="s">
        <v>158</v>
      </c>
      <c r="AN8" s="14" t="s">
        <v>158</v>
      </c>
      <c r="AO8" s="14" t="s">
        <v>320</v>
      </c>
      <c r="AP8" s="14" t="s">
        <v>320</v>
      </c>
      <c r="AQ8" s="14" t="s">
        <v>320</v>
      </c>
    </row>
    <row r="9" spans="21:43" ht="7.95" customHeight="1" x14ac:dyDescent="0.3">
      <c r="U9" s="13" t="s">
        <v>378</v>
      </c>
      <c r="V9" s="14"/>
      <c r="W9" s="14"/>
      <c r="X9" s="14" t="s">
        <v>29</v>
      </c>
      <c r="Y9" s="14" t="s">
        <v>29</v>
      </c>
      <c r="Z9" s="14" t="s">
        <v>29</v>
      </c>
      <c r="AA9" s="14" t="s">
        <v>29</v>
      </c>
      <c r="AB9" s="14" t="s">
        <v>29</v>
      </c>
      <c r="AC9" s="14" t="s">
        <v>29</v>
      </c>
      <c r="AD9" s="14" t="s">
        <v>29</v>
      </c>
      <c r="AE9" s="14" t="s">
        <v>29</v>
      </c>
      <c r="AF9" s="14" t="s">
        <v>29</v>
      </c>
      <c r="AG9" s="11"/>
      <c r="AH9" s="11"/>
      <c r="AI9" s="14" t="s">
        <v>29</v>
      </c>
      <c r="AJ9" s="14" t="s">
        <v>29</v>
      </c>
      <c r="AK9" s="14" t="s">
        <v>29</v>
      </c>
      <c r="AL9" s="14" t="s">
        <v>29</v>
      </c>
      <c r="AM9" s="14" t="s">
        <v>29</v>
      </c>
      <c r="AN9" s="14" t="s">
        <v>29</v>
      </c>
      <c r="AO9" s="14" t="s">
        <v>29</v>
      </c>
      <c r="AP9" s="14" t="s">
        <v>29</v>
      </c>
      <c r="AQ9" s="14" t="s">
        <v>29</v>
      </c>
    </row>
    <row r="10" spans="21:43" ht="7.95" customHeight="1" x14ac:dyDescent="0.3">
      <c r="U10" s="13" t="s">
        <v>316</v>
      </c>
      <c r="V10" s="14"/>
      <c r="W10" s="14"/>
      <c r="X10" s="14"/>
      <c r="Y10" s="14"/>
      <c r="Z10" s="14" t="s">
        <v>126</v>
      </c>
      <c r="AA10" s="14" t="s">
        <v>126</v>
      </c>
      <c r="AB10" s="14" t="s">
        <v>126</v>
      </c>
      <c r="AC10" s="14" t="s">
        <v>158</v>
      </c>
      <c r="AD10" s="14" t="s">
        <v>158</v>
      </c>
      <c r="AE10" s="14" t="s">
        <v>158</v>
      </c>
      <c r="AF10" s="14" t="s">
        <v>320</v>
      </c>
      <c r="AG10" s="11"/>
      <c r="AH10" s="11"/>
      <c r="AI10" s="14"/>
      <c r="AJ10" s="14"/>
      <c r="AK10" s="14" t="s">
        <v>126</v>
      </c>
      <c r="AL10" s="14" t="s">
        <v>126</v>
      </c>
      <c r="AM10" s="14" t="s">
        <v>126</v>
      </c>
      <c r="AN10" s="14" t="s">
        <v>158</v>
      </c>
      <c r="AO10" s="14" t="s">
        <v>158</v>
      </c>
      <c r="AP10" s="14" t="s">
        <v>158</v>
      </c>
      <c r="AQ10" s="14" t="s">
        <v>320</v>
      </c>
    </row>
    <row r="11" spans="21:43" ht="7.95" customHeight="1" x14ac:dyDescent="0.3">
      <c r="U11" s="13" t="s">
        <v>317</v>
      </c>
      <c r="V11" s="14"/>
      <c r="W11" s="14"/>
      <c r="X11" s="14"/>
      <c r="Y11" s="14" t="s">
        <v>126</v>
      </c>
      <c r="Z11" s="14" t="s">
        <v>126</v>
      </c>
      <c r="AA11" s="14" t="s">
        <v>126</v>
      </c>
      <c r="AB11" s="14" t="s">
        <v>158</v>
      </c>
      <c r="AC11" s="14" t="s">
        <v>158</v>
      </c>
      <c r="AD11" s="14" t="s">
        <v>320</v>
      </c>
      <c r="AE11" s="14" t="s">
        <v>320</v>
      </c>
      <c r="AF11" s="14" t="s">
        <v>320</v>
      </c>
      <c r="AG11" s="11"/>
      <c r="AH11" s="11"/>
      <c r="AI11" s="14"/>
      <c r="AJ11" s="14" t="s">
        <v>126</v>
      </c>
      <c r="AK11" s="14" t="s">
        <v>126</v>
      </c>
      <c r="AL11" s="14" t="s">
        <v>126</v>
      </c>
      <c r="AM11" s="14" t="s">
        <v>158</v>
      </c>
      <c r="AN11" s="14" t="s">
        <v>158</v>
      </c>
      <c r="AO11" s="14" t="s">
        <v>320</v>
      </c>
      <c r="AP11" s="14" t="s">
        <v>320</v>
      </c>
      <c r="AQ11" s="14" t="s">
        <v>320</v>
      </c>
    </row>
    <row r="12" spans="21:43" ht="7.95" customHeight="1" x14ac:dyDescent="0.3">
      <c r="U12" s="13" t="s">
        <v>318</v>
      </c>
      <c r="V12" s="14"/>
      <c r="W12" s="14"/>
      <c r="X12" s="15"/>
      <c r="Y12" s="14"/>
      <c r="Z12" s="14" t="s">
        <v>126</v>
      </c>
      <c r="AA12" s="14" t="s">
        <v>126</v>
      </c>
      <c r="AB12" s="14" t="s">
        <v>158</v>
      </c>
      <c r="AC12" s="14" t="s">
        <v>158</v>
      </c>
      <c r="AD12" s="14" t="s">
        <v>320</v>
      </c>
      <c r="AE12" s="14" t="s">
        <v>320</v>
      </c>
      <c r="AF12" s="14" t="s">
        <v>320</v>
      </c>
      <c r="AG12" s="12"/>
      <c r="AH12" s="12"/>
      <c r="AI12" s="15"/>
      <c r="AJ12" s="14"/>
      <c r="AK12" s="14" t="s">
        <v>126</v>
      </c>
      <c r="AL12" s="14" t="s">
        <v>126</v>
      </c>
      <c r="AM12" s="14" t="s">
        <v>158</v>
      </c>
      <c r="AN12" s="14" t="s">
        <v>158</v>
      </c>
      <c r="AO12" s="14" t="s">
        <v>320</v>
      </c>
      <c r="AP12" s="14" t="s">
        <v>320</v>
      </c>
      <c r="AQ12" s="14" t="s">
        <v>320</v>
      </c>
    </row>
    <row r="13" spans="21:43" ht="7.95" customHeight="1" x14ac:dyDescent="0.3">
      <c r="U13" s="13" t="s">
        <v>319</v>
      </c>
      <c r="V13" s="14"/>
      <c r="W13" s="14"/>
      <c r="X13" s="15"/>
      <c r="Y13" s="14" t="s">
        <v>29</v>
      </c>
      <c r="Z13" s="14" t="s">
        <v>29</v>
      </c>
      <c r="AA13" s="14" t="s">
        <v>29</v>
      </c>
      <c r="AB13" s="14" t="s">
        <v>29</v>
      </c>
      <c r="AC13" s="14" t="s">
        <v>29</v>
      </c>
      <c r="AD13" s="14" t="s">
        <v>29</v>
      </c>
      <c r="AE13" s="14" t="s">
        <v>29</v>
      </c>
      <c r="AF13" s="14" t="s">
        <v>29</v>
      </c>
      <c r="AG13" s="12"/>
      <c r="AH13" s="12"/>
      <c r="AI13" s="15"/>
      <c r="AJ13" s="14" t="s">
        <v>29</v>
      </c>
      <c r="AK13" s="14" t="s">
        <v>29</v>
      </c>
      <c r="AL13" s="14" t="s">
        <v>29</v>
      </c>
      <c r="AM13" s="14" t="s">
        <v>29</v>
      </c>
      <c r="AN13" s="14" t="s">
        <v>29</v>
      </c>
      <c r="AO13" s="14" t="s">
        <v>29</v>
      </c>
      <c r="AP13" s="14" t="s">
        <v>29</v>
      </c>
      <c r="AQ13" s="14" t="s">
        <v>29</v>
      </c>
    </row>
    <row r="14" spans="21:43" ht="7.95" customHeight="1" x14ac:dyDescent="0.3">
      <c r="U14" s="13" t="s">
        <v>321</v>
      </c>
      <c r="V14" s="14"/>
      <c r="W14" s="14"/>
      <c r="X14" s="15"/>
      <c r="Y14" s="14"/>
      <c r="Z14" s="14"/>
      <c r="AA14" s="14" t="s">
        <v>126</v>
      </c>
      <c r="AB14" s="14" t="s">
        <v>126</v>
      </c>
      <c r="AC14" s="14" t="s">
        <v>126</v>
      </c>
      <c r="AD14" s="14" t="s">
        <v>158</v>
      </c>
      <c r="AE14" s="14" t="s">
        <v>158</v>
      </c>
      <c r="AF14" s="14" t="s">
        <v>320</v>
      </c>
      <c r="AG14" s="12"/>
      <c r="AH14" s="12"/>
      <c r="AI14" s="15"/>
      <c r="AJ14" s="14"/>
      <c r="AK14" s="14"/>
      <c r="AL14" s="14" t="s">
        <v>126</v>
      </c>
      <c r="AM14" s="14" t="s">
        <v>126</v>
      </c>
      <c r="AN14" s="14" t="s">
        <v>126</v>
      </c>
      <c r="AO14" s="14" t="s">
        <v>158</v>
      </c>
      <c r="AP14" s="14" t="s">
        <v>158</v>
      </c>
      <c r="AQ14" s="14" t="s">
        <v>320</v>
      </c>
    </row>
    <row r="15" spans="21:43" ht="7.95" customHeight="1" x14ac:dyDescent="0.3">
      <c r="U15" s="13" t="s">
        <v>322</v>
      </c>
      <c r="V15" s="14"/>
      <c r="W15" s="14"/>
      <c r="X15" s="15"/>
      <c r="Y15" s="14"/>
      <c r="Z15" s="14" t="s">
        <v>126</v>
      </c>
      <c r="AA15" s="14" t="s">
        <v>126</v>
      </c>
      <c r="AB15" s="14" t="s">
        <v>158</v>
      </c>
      <c r="AC15" s="14" t="s">
        <v>158</v>
      </c>
      <c r="AD15" s="14" t="s">
        <v>158</v>
      </c>
      <c r="AE15" s="14" t="s">
        <v>320</v>
      </c>
      <c r="AF15" s="14" t="s">
        <v>320</v>
      </c>
      <c r="AG15" s="12"/>
      <c r="AH15" s="12"/>
      <c r="AI15" s="15"/>
      <c r="AJ15" s="14"/>
      <c r="AK15" s="14" t="s">
        <v>126</v>
      </c>
      <c r="AL15" s="14" t="s">
        <v>126</v>
      </c>
      <c r="AM15" s="14" t="s">
        <v>158</v>
      </c>
      <c r="AN15" s="14" t="s">
        <v>158</v>
      </c>
      <c r="AO15" s="14" t="s">
        <v>158</v>
      </c>
      <c r="AP15" s="14" t="s">
        <v>320</v>
      </c>
      <c r="AQ15" s="14" t="s">
        <v>320</v>
      </c>
    </row>
    <row r="16" spans="21:43" ht="7.95" customHeight="1" x14ac:dyDescent="0.3">
      <c r="U16" s="13" t="s">
        <v>323</v>
      </c>
      <c r="V16" s="14"/>
      <c r="W16" s="14"/>
      <c r="X16" s="15"/>
      <c r="Y16" s="14"/>
      <c r="Z16" s="14" t="s">
        <v>126</v>
      </c>
      <c r="AA16" s="14" t="s">
        <v>126</v>
      </c>
      <c r="AB16" s="14" t="s">
        <v>126</v>
      </c>
      <c r="AC16" s="14" t="s">
        <v>158</v>
      </c>
      <c r="AD16" s="14" t="s">
        <v>158</v>
      </c>
      <c r="AE16" s="14" t="s">
        <v>320</v>
      </c>
      <c r="AF16" s="14" t="s">
        <v>320</v>
      </c>
      <c r="AG16" s="12"/>
      <c r="AH16" s="12"/>
      <c r="AI16" s="15"/>
      <c r="AJ16" s="14"/>
      <c r="AK16" s="14" t="s">
        <v>126</v>
      </c>
      <c r="AL16" s="14" t="s">
        <v>126</v>
      </c>
      <c r="AM16" s="14" t="s">
        <v>126</v>
      </c>
      <c r="AN16" s="14" t="s">
        <v>158</v>
      </c>
      <c r="AO16" s="14" t="s">
        <v>158</v>
      </c>
      <c r="AP16" s="14" t="s">
        <v>320</v>
      </c>
      <c r="AQ16" s="14" t="s">
        <v>320</v>
      </c>
    </row>
    <row r="17" spans="1:48" ht="7.95" customHeight="1" x14ac:dyDescent="0.3">
      <c r="U17" s="13" t="s">
        <v>328</v>
      </c>
      <c r="V17" s="14"/>
      <c r="W17" s="14"/>
      <c r="X17" s="15"/>
      <c r="Y17" s="14"/>
      <c r="Z17" s="14" t="s">
        <v>29</v>
      </c>
      <c r="AA17" s="14" t="s">
        <v>29</v>
      </c>
      <c r="AB17" s="14" t="s">
        <v>29</v>
      </c>
      <c r="AC17" s="14" t="s">
        <v>29</v>
      </c>
      <c r="AD17" s="14" t="s">
        <v>29</v>
      </c>
      <c r="AE17" s="14" t="s">
        <v>29</v>
      </c>
      <c r="AF17" s="14" t="s">
        <v>29</v>
      </c>
      <c r="AG17" s="12"/>
      <c r="AH17" s="12"/>
      <c r="AI17" s="15"/>
      <c r="AJ17" s="14"/>
      <c r="AK17" s="14" t="s">
        <v>29</v>
      </c>
      <c r="AL17" s="14" t="s">
        <v>29</v>
      </c>
      <c r="AM17" s="14" t="s">
        <v>29</v>
      </c>
      <c r="AN17" s="14" t="s">
        <v>29</v>
      </c>
      <c r="AO17" s="14" t="s">
        <v>29</v>
      </c>
      <c r="AP17" s="14" t="s">
        <v>29</v>
      </c>
      <c r="AQ17" s="14" t="s">
        <v>29</v>
      </c>
    </row>
    <row r="18" spans="1:48" ht="7.95" customHeight="1" x14ac:dyDescent="0.3">
      <c r="U18" s="13" t="s">
        <v>324</v>
      </c>
      <c r="V18" s="14"/>
      <c r="W18" s="14"/>
      <c r="X18" s="15"/>
      <c r="Y18" s="14"/>
      <c r="Z18" s="14"/>
      <c r="AA18" s="14"/>
      <c r="AB18" s="14" t="s">
        <v>126</v>
      </c>
      <c r="AC18" s="14" t="s">
        <v>126</v>
      </c>
      <c r="AD18" s="14" t="s">
        <v>158</v>
      </c>
      <c r="AE18" s="14" t="s">
        <v>158</v>
      </c>
      <c r="AF18" s="14" t="s">
        <v>320</v>
      </c>
      <c r="AG18" s="12"/>
      <c r="AH18" s="12"/>
      <c r="AI18" s="15"/>
      <c r="AJ18" s="14"/>
      <c r="AK18" s="14"/>
      <c r="AL18" s="14"/>
      <c r="AM18" s="14" t="s">
        <v>126</v>
      </c>
      <c r="AN18" s="14" t="s">
        <v>126</v>
      </c>
      <c r="AO18" s="14" t="s">
        <v>158</v>
      </c>
      <c r="AP18" s="14" t="s">
        <v>158</v>
      </c>
      <c r="AQ18" s="14" t="s">
        <v>320</v>
      </c>
    </row>
    <row r="19" spans="1:48" ht="7.95" customHeight="1" x14ac:dyDescent="0.3">
      <c r="U19" s="13" t="s">
        <v>325</v>
      </c>
      <c r="V19" s="14"/>
      <c r="W19" s="14"/>
      <c r="X19" s="15"/>
      <c r="Y19" s="14"/>
      <c r="Z19" s="14"/>
      <c r="AA19" s="14" t="s">
        <v>126</v>
      </c>
      <c r="AB19" s="14" t="s">
        <v>126</v>
      </c>
      <c r="AC19" s="14" t="s">
        <v>158</v>
      </c>
      <c r="AD19" s="14" t="s">
        <v>158</v>
      </c>
      <c r="AE19" s="14" t="s">
        <v>320</v>
      </c>
      <c r="AF19" s="14" t="s">
        <v>320</v>
      </c>
      <c r="AG19" s="12"/>
      <c r="AH19" s="12"/>
      <c r="AI19" s="15"/>
      <c r="AJ19" s="14"/>
      <c r="AK19" s="14"/>
      <c r="AL19" s="14" t="s">
        <v>126</v>
      </c>
      <c r="AM19" s="14" t="s">
        <v>126</v>
      </c>
      <c r="AN19" s="14" t="s">
        <v>158</v>
      </c>
      <c r="AO19" s="14" t="s">
        <v>158</v>
      </c>
      <c r="AP19" s="14" t="s">
        <v>320</v>
      </c>
      <c r="AQ19" s="14" t="s">
        <v>320</v>
      </c>
    </row>
    <row r="20" spans="1:48" ht="7.95" customHeight="1" x14ac:dyDescent="0.3">
      <c r="U20" s="13" t="s">
        <v>326</v>
      </c>
      <c r="V20" s="14"/>
      <c r="W20" s="14"/>
      <c r="X20" s="15"/>
      <c r="Y20" s="14"/>
      <c r="Z20" s="14"/>
      <c r="AA20" s="14"/>
      <c r="AB20" s="14" t="s">
        <v>126</v>
      </c>
      <c r="AC20" s="14" t="s">
        <v>126</v>
      </c>
      <c r="AD20" s="14" t="s">
        <v>158</v>
      </c>
      <c r="AE20" s="14" t="s">
        <v>158</v>
      </c>
      <c r="AF20" s="14" t="s">
        <v>320</v>
      </c>
      <c r="AG20" s="12"/>
      <c r="AH20" s="12"/>
      <c r="AI20" s="15"/>
      <c r="AJ20" s="14"/>
      <c r="AK20" s="14"/>
      <c r="AL20" s="14"/>
      <c r="AM20" s="14" t="s">
        <v>126</v>
      </c>
      <c r="AN20" s="14" t="s">
        <v>126</v>
      </c>
      <c r="AO20" s="14" t="s">
        <v>158</v>
      </c>
      <c r="AP20" s="14" t="s">
        <v>158</v>
      </c>
      <c r="AQ20" s="14" t="s">
        <v>320</v>
      </c>
    </row>
    <row r="21" spans="1:48" ht="7.95" customHeight="1" x14ac:dyDescent="0.3">
      <c r="U21" s="13" t="s">
        <v>327</v>
      </c>
      <c r="V21" s="14"/>
      <c r="W21" s="14"/>
      <c r="X21" s="15"/>
      <c r="Y21" s="14"/>
      <c r="Z21" s="14" t="s">
        <v>29</v>
      </c>
      <c r="AA21" s="14" t="s">
        <v>29</v>
      </c>
      <c r="AB21" s="14" t="s">
        <v>29</v>
      </c>
      <c r="AC21" s="14" t="s">
        <v>29</v>
      </c>
      <c r="AD21" s="14" t="s">
        <v>29</v>
      </c>
      <c r="AE21" s="14" t="s">
        <v>29</v>
      </c>
      <c r="AF21" s="14" t="s">
        <v>29</v>
      </c>
      <c r="AG21" s="12"/>
      <c r="AH21" s="12"/>
      <c r="AI21" s="15"/>
      <c r="AJ21" s="14"/>
      <c r="AK21" s="14" t="s">
        <v>29</v>
      </c>
      <c r="AL21" s="14" t="s">
        <v>29</v>
      </c>
      <c r="AM21" s="14" t="s">
        <v>29</v>
      </c>
      <c r="AN21" s="14" t="s">
        <v>29</v>
      </c>
      <c r="AO21" s="14" t="s">
        <v>29</v>
      </c>
      <c r="AP21" s="14" t="s">
        <v>29</v>
      </c>
      <c r="AQ21" s="14" t="s">
        <v>29</v>
      </c>
    </row>
    <row r="22" spans="1:48" x14ac:dyDescent="0.3">
      <c r="V22" s="4"/>
    </row>
    <row r="23" spans="1:48" s="7" customFormat="1" x14ac:dyDescent="0.3">
      <c r="B23" s="67" t="s">
        <v>181</v>
      </c>
      <c r="C23" s="67"/>
      <c r="D23" s="66" t="s">
        <v>639</v>
      </c>
      <c r="E23" s="66" t="s">
        <v>640</v>
      </c>
      <c r="F23" s="67" t="s">
        <v>183</v>
      </c>
      <c r="G23" s="67"/>
      <c r="H23" s="67" t="s">
        <v>184</v>
      </c>
      <c r="I23" s="67" t="s">
        <v>185</v>
      </c>
      <c r="J23" s="67" t="s">
        <v>186</v>
      </c>
      <c r="K23" s="67" t="s">
        <v>101</v>
      </c>
      <c r="L23" s="67" t="s">
        <v>187</v>
      </c>
      <c r="M23" s="67" t="s">
        <v>188</v>
      </c>
      <c r="N23" s="66" t="s">
        <v>189</v>
      </c>
      <c r="O23" s="67" t="s">
        <v>193</v>
      </c>
      <c r="P23" s="67"/>
      <c r="Q23" s="67"/>
      <c r="R23" s="67"/>
      <c r="S23" s="67"/>
      <c r="T23" s="67" t="s">
        <v>190</v>
      </c>
      <c r="U23" s="66" t="s">
        <v>250</v>
      </c>
      <c r="V23" s="68" t="s">
        <v>394</v>
      </c>
      <c r="W23" s="68"/>
      <c r="X23" s="68"/>
      <c r="Y23" s="68"/>
      <c r="Z23" s="68"/>
      <c r="AA23" s="68"/>
      <c r="AB23" s="68"/>
      <c r="AC23" s="68"/>
      <c r="AD23" s="68"/>
      <c r="AE23" s="68"/>
      <c r="AF23" s="68"/>
      <c r="AG23" s="68" t="s">
        <v>395</v>
      </c>
      <c r="AH23" s="68"/>
      <c r="AI23" s="68"/>
      <c r="AJ23" s="68"/>
      <c r="AK23" s="68"/>
      <c r="AL23" s="68"/>
      <c r="AM23" s="68"/>
      <c r="AN23" s="68"/>
      <c r="AO23" s="68"/>
      <c r="AP23" s="68"/>
      <c r="AQ23" s="68"/>
      <c r="AS23" s="66" t="s">
        <v>348</v>
      </c>
      <c r="AT23" s="66" t="s">
        <v>349</v>
      </c>
      <c r="AU23" s="66" t="s">
        <v>350</v>
      </c>
      <c r="AV23" s="66" t="s">
        <v>347</v>
      </c>
    </row>
    <row r="24" spans="1:48" s="7" customFormat="1" x14ac:dyDescent="0.3">
      <c r="A24" s="7" t="s">
        <v>180</v>
      </c>
      <c r="B24" s="3" t="s">
        <v>29</v>
      </c>
      <c r="C24" s="3" t="s">
        <v>182</v>
      </c>
      <c r="D24" s="66"/>
      <c r="E24" s="66"/>
      <c r="F24" s="3" t="s">
        <v>29</v>
      </c>
      <c r="G24" s="3" t="s">
        <v>182</v>
      </c>
      <c r="H24" s="67"/>
      <c r="I24" s="67"/>
      <c r="J24" s="67"/>
      <c r="K24" s="67"/>
      <c r="L24" s="67"/>
      <c r="M24" s="67"/>
      <c r="N24" s="66"/>
      <c r="O24" s="3" t="s">
        <v>191</v>
      </c>
      <c r="P24" s="3" t="s">
        <v>192</v>
      </c>
      <c r="Q24" s="3" t="s">
        <v>194</v>
      </c>
      <c r="R24" s="3" t="s">
        <v>195</v>
      </c>
      <c r="S24" s="3" t="s">
        <v>196</v>
      </c>
      <c r="T24" s="67"/>
      <c r="U24" s="66"/>
      <c r="V24" t="s">
        <v>310</v>
      </c>
      <c r="W24" t="s">
        <v>311</v>
      </c>
      <c r="X24" s="3">
        <v>9</v>
      </c>
      <c r="Y24" s="3">
        <v>10</v>
      </c>
      <c r="Z24" s="3">
        <v>11</v>
      </c>
      <c r="AA24" s="3">
        <v>12</v>
      </c>
      <c r="AB24" s="3">
        <v>13</v>
      </c>
      <c r="AC24" s="3">
        <v>14</v>
      </c>
      <c r="AD24" s="3">
        <v>15</v>
      </c>
      <c r="AE24" s="3">
        <v>16</v>
      </c>
      <c r="AF24" s="3">
        <v>17</v>
      </c>
      <c r="AG24" t="s">
        <v>310</v>
      </c>
      <c r="AH24" t="s">
        <v>311</v>
      </c>
      <c r="AI24" s="3">
        <v>9</v>
      </c>
      <c r="AJ24" s="3">
        <v>10</v>
      </c>
      <c r="AK24" s="3">
        <v>11</v>
      </c>
      <c r="AL24" s="3">
        <v>12</v>
      </c>
      <c r="AM24" s="3">
        <v>13</v>
      </c>
      <c r="AN24" s="3">
        <v>14</v>
      </c>
      <c r="AO24" s="3">
        <v>15</v>
      </c>
      <c r="AP24" s="3">
        <v>16</v>
      </c>
      <c r="AQ24" s="3">
        <v>17</v>
      </c>
      <c r="AS24" s="66"/>
      <c r="AT24" s="66"/>
      <c r="AU24" s="66"/>
      <c r="AV24" s="66"/>
    </row>
    <row r="25" spans="1:48" x14ac:dyDescent="0.3">
      <c r="A25" s="6" t="s">
        <v>173</v>
      </c>
    </row>
    <row r="26" spans="1:48" x14ac:dyDescent="0.3">
      <c r="A26" t="s">
        <v>174</v>
      </c>
      <c r="B26" s="3" t="s">
        <v>154</v>
      </c>
      <c r="C26" s="8" t="s">
        <v>154</v>
      </c>
      <c r="D26" s="8">
        <v>2</v>
      </c>
      <c r="E26" s="8">
        <v>0</v>
      </c>
      <c r="F26" s="9"/>
      <c r="G26" s="9"/>
      <c r="H26" s="46">
        <v>3</v>
      </c>
      <c r="I26" s="3">
        <v>7</v>
      </c>
      <c r="J26" s="3" t="s">
        <v>198</v>
      </c>
      <c r="K26" s="3">
        <v>20</v>
      </c>
      <c r="L26" s="3" t="s">
        <v>288</v>
      </c>
      <c r="M26" s="3" t="s">
        <v>199</v>
      </c>
      <c r="N26" s="3">
        <v>9</v>
      </c>
      <c r="O26" s="3">
        <v>9</v>
      </c>
      <c r="P26" s="3">
        <v>13</v>
      </c>
      <c r="Q26" s="3" t="s">
        <v>200</v>
      </c>
      <c r="R26" s="3">
        <v>7</v>
      </c>
      <c r="S26" s="3">
        <v>9</v>
      </c>
      <c r="T26" s="3">
        <v>2</v>
      </c>
      <c r="U26" t="s">
        <v>289</v>
      </c>
      <c r="V26" s="16">
        <f>IF(OR(ISNUMBER(SEARCH("Melee",$L26)),ISNUMBER(SEARCH("Bypass",$L26))),0, (($H26 *IF(ISNUMBER(SEARCH("Rapid",$L26)),7/6,1)*IF(OR(ISNUMBER(SEARCH("Beam",$L26)),ISNUMBER(SEARCH("Firestorm",$L26))),1, IF(ISNUMBER(SEARCH("Blast",$L26)),(4+$F26+(2-$F26)*0.5)/6*2,(4+$F26)/6)))+IF(ISNUMBER(SEARCH("Voidbreaker", $L26)),1.89,0)) *IF(ISNUMBER(SEARCH("Shieldbane", $L26)),3/6,2/6))</f>
        <v>1</v>
      </c>
      <c r="W26" s="16">
        <f>IF(OR(ISNUMBER(SEARCH("Melee",$L26)),ISNUMBER(SEARCH("Bypass",$L26))),0, (($H26 *IF(ISNUMBER(SEARCH("Rapid",$L26)),7/6,1)*IF(OR(ISNUMBER(SEARCH("Beam",$L26)),ISNUMBER(SEARCH("Firestorm",$L26))),1, IF(ISNUMBER(SEARCH("Blast",$L26)),(4+$F26+(2-$F26)*0.5)/6*2,(4+$F26)/6)))+IF(ISNUMBER(SEARCH("Voidbreaker", $L26)),1.89,0)) *IF(ISNUMBER(SEARCH("Shieldbane", $L26)),4/6,3/6))</f>
        <v>1.5</v>
      </c>
      <c r="X26" s="17" cm="1">
        <f t="array" ref="X26">$H26 *
IF(ISNUMBER(SEARCH("Rapid",$L26)),7/6,1) *
IF(OR(ISNUMBER(SEARCH("Beam",$L26)),ISNUMBER(SEARCH("Firestorm",$L26))),1, IF(ISNUMBER(SEARCH("Blast",$L26)),(4+$F26+(2-$F26)*0.5)/6*2,(4+$F26)/6)) *
IF(ISNUMBER(SEARCH("Fusion",$L26)), _xlfn.IFS(X$24-$I26 &lt;=1, 9/10, X$24-$I26 &lt;=10,(11-(X$24-$I26))/10, X$24-$I26 &gt;=11, 0),
_xlfn.IFS(X$24-$I26 &lt;=1, 5/6, X$24-$I26 &lt;=5, (7-(X$24-$I26))/6, AND(X$24-$I26 =6,NOT(_xlfn.IFNA(ISNUMBER(SEARCH("Rending",$L26)),FALSE))), (7-(X$24-$I26))/6, AND(X$24-$I26 &gt;=7,NOT(_xlfn.IFNA(ISNUMBER(SEARCH("Rending",$L26)),FALSE))), 0, X$24-$I26 =7, (7-(X$24-1-$I26))/6, X$24-$I26 =8, (7-(X$24-2-$I26))/6*2/3, X$24-$I26 =9, (7-(X$24-3-$I26))/6*1/3, TRUE, 0)) *
IF(ISNUMBER(SEARCH("Ordinance",$L26)),7/6,1) *
IF(OR(ISNUMBER(SEARCH("Melee",$L26)),ISNUMBER(SEARCH("Bypass",$L26))),1.5,1)</f>
        <v>2.5</v>
      </c>
      <c r="Y26" s="17" cm="1">
        <f t="array" ref="Y26">$H26 *
IF(ISNUMBER(SEARCH("Rapid",$L26)),7/6,1) *
IF(OR(ISNUMBER(SEARCH("Beam",$L26)),ISNUMBER(SEARCH("Firestorm",$L26))),1, IF(ISNUMBER(SEARCH("Blast",$L26)),(4+$F26+(2-$F26)*0.5)/6*2,(4+$F26)/6)) *
IF(ISNUMBER(SEARCH("Fusion",$L26)), _xlfn.IFS(Y$24-$I26 &lt;=1, 9/10, Y$24-$I26 &lt;=10,(11-(Y$24-$I26))/10, Y$24-$I26 &gt;=11, 0),
_xlfn.IFS(Y$24-$I26 &lt;=1, 5/6, Y$24-$I26 &lt;=5, (7-(Y$24-$I26))/6, AND(Y$24-$I26 =6,NOT(_xlfn.IFNA(ISNUMBER(SEARCH("Rending",$L26)),FALSE))), (7-(Y$24-$I26))/6, AND(Y$24-$I26 &gt;=7,NOT(_xlfn.IFNA(ISNUMBER(SEARCH("Rending",$L26)),FALSE))), 0, Y$24-$I26 =7, (7-(Y$24-1-$I26))/6, Y$24-$I26 =8, (7-(Y$24-2-$I26))/6*2/3, Y$24-$I26 =9, (7-(Y$24-3-$I26))/6*1/3, TRUE, 0)) *
IF(ISNUMBER(SEARCH("Ordinance",$L26)),7/6,1) *
IF(OR(ISNUMBER(SEARCH("Melee",$L26)),ISNUMBER(SEARCH("Bypass",$L26))),1.5,1)</f>
        <v>2</v>
      </c>
      <c r="Z26" s="17" cm="1">
        <f t="array" ref="Z26">$H26 *
IF(ISNUMBER(SEARCH("Rapid",$L26)),7/6,1) *
IF(OR(ISNUMBER(SEARCH("Beam",$L26)),ISNUMBER(SEARCH("Firestorm",$L26))),1, IF(ISNUMBER(SEARCH("Blast",$L26)),(4+$F26+(2-$F26)*0.5)/6*2,(4+$F26)/6)) *
IF(ISNUMBER(SEARCH("Fusion",$L26)), _xlfn.IFS(Z$24-$I26 &lt;=1, 9/10, Z$24-$I26 &lt;=10,(11-(Z$24-$I26))/10, Z$24-$I26 &gt;=11, 0),
_xlfn.IFS(Z$24-$I26 &lt;=1, 5/6, Z$24-$I26 &lt;=5, (7-(Z$24-$I26))/6, AND(Z$24-$I26 =6,NOT(_xlfn.IFNA(ISNUMBER(SEARCH("Rending",$L26)),FALSE))), (7-(Z$24-$I26))/6, AND(Z$24-$I26 &gt;=7,NOT(_xlfn.IFNA(ISNUMBER(SEARCH("Rending",$L26)),FALSE))), 0, Z$24-$I26 =7, (7-(Z$24-1-$I26))/6, Z$24-$I26 =8, (7-(Z$24-2-$I26))/6*2/3, Z$24-$I26 =9, (7-(Z$24-3-$I26))/6*1/3, TRUE, 0)) *
IF(ISNUMBER(SEARCH("Ordinance",$L26)),7/6,1) *
IF(OR(ISNUMBER(SEARCH("Melee",$L26)),ISNUMBER(SEARCH("Bypass",$L26))),1.5,1)</f>
        <v>1.5</v>
      </c>
      <c r="AA26" s="17" cm="1">
        <f t="array" ref="AA26">$H26 *
IF(ISNUMBER(SEARCH("Rapid",$L26)),7/6,1) *
IF(OR(ISNUMBER(SEARCH("Beam",$L26)),ISNUMBER(SEARCH("Firestorm",$L26))),1, IF(ISNUMBER(SEARCH("Blast",$L26)),(4+$F26+(2-$F26)*0.5)/6*2,(4+$F26)/6)) *
IF(ISNUMBER(SEARCH("Fusion",$L26)), _xlfn.IFS(AA$24-$I26 &lt;=1, 9/10, AA$24-$I26 &lt;=10,(11-(AA$24-$I26))/10, AA$24-$I26 &gt;=11, 0),
_xlfn.IFS(AA$24-$I26 &lt;=1, 5/6, AA$24-$I26 &lt;=5, (7-(AA$24-$I26))/6, AND(AA$24-$I26 =6,NOT(_xlfn.IFNA(ISNUMBER(SEARCH("Rending",$L26)),FALSE))), (7-(AA$24-$I26))/6, AND(AA$24-$I26 &gt;=7,NOT(_xlfn.IFNA(ISNUMBER(SEARCH("Rending",$L26)),FALSE))), 0, AA$24-$I26 =7, (7-(AA$24-1-$I26))/6, AA$24-$I26 =8, (7-(AA$24-2-$I26))/6*2/3, AA$24-$I26 =9, (7-(AA$24-3-$I26))/6*1/3, TRUE, 0)) *
IF(ISNUMBER(SEARCH("Ordinance",$L26)),7/6,1) *
IF(OR(ISNUMBER(SEARCH("Melee",$L26)),ISNUMBER(SEARCH("Bypass",$L26))),1.5,1)</f>
        <v>1</v>
      </c>
      <c r="AB26" s="17" cm="1">
        <f t="array" ref="AB26">$H26 *
IF(ISNUMBER(SEARCH("Rapid",$L26)),7/6,1) *
IF(OR(ISNUMBER(SEARCH("Beam",$L26)),ISNUMBER(SEARCH("Firestorm",$L26))),1, IF(ISNUMBER(SEARCH("Blast",$L26)),(4+$F26+(2-$F26)*0.5)/6*2,(4+$F26)/6)) *
IF(ISNUMBER(SEARCH("Fusion",$L26)), _xlfn.IFS(AB$24-$I26 &lt;=1, 9/10, AB$24-$I26 &lt;=10,(11-(AB$24-$I26))/10, AB$24-$I26 &gt;=11, 0),
_xlfn.IFS(AB$24-$I26 &lt;=1, 5/6, AB$24-$I26 &lt;=5, (7-(AB$24-$I26))/6, AND(AB$24-$I26 =6,NOT(_xlfn.IFNA(ISNUMBER(SEARCH("Rending",$L26)),FALSE))), (7-(AB$24-$I26))/6, AND(AB$24-$I26 &gt;=7,NOT(_xlfn.IFNA(ISNUMBER(SEARCH("Rending",$L26)),FALSE))), 0, AB$24-$I26 =7, (7-(AB$24-1-$I26))/6, AB$24-$I26 =8, (7-(AB$24-2-$I26))/6*2/3, AB$24-$I26 =9, (7-(AB$24-3-$I26))/6*1/3, TRUE, 0)) *
IF(ISNUMBER(SEARCH("Ordinance",$L26)),7/6,1) *
IF(OR(ISNUMBER(SEARCH("Melee",$L26)),ISNUMBER(SEARCH("Bypass",$L26))),1.5,1)</f>
        <v>0.5</v>
      </c>
      <c r="AC26" s="17" cm="1">
        <f t="array" ref="AC26">$H26 *
IF(ISNUMBER(SEARCH("Rapid",$L26)),7/6,1) *
IF(OR(ISNUMBER(SEARCH("Beam",$L26)),ISNUMBER(SEARCH("Firestorm",$L26))),1, IF(ISNUMBER(SEARCH("Blast",$L26)),(4+$F26+(2-$F26)*0.5)/6*2,(4+$F26)/6)) *
IF(ISNUMBER(SEARCH("Fusion",$L26)), _xlfn.IFS(AC$24-$I26 &lt;=1, 9/10, AC$24-$I26 &lt;=10,(11-(AC$24-$I26))/10, AC$24-$I26 &gt;=11, 0),
_xlfn.IFS(AC$24-$I26 &lt;=1, 5/6, AC$24-$I26 &lt;=5, (7-(AC$24-$I26))/6, AND(AC$24-$I26 =6,NOT(_xlfn.IFNA(ISNUMBER(SEARCH("Rending",$L26)),FALSE))), (7-(AC$24-$I26))/6, AND(AC$24-$I26 &gt;=7,NOT(_xlfn.IFNA(ISNUMBER(SEARCH("Rending",$L26)),FALSE))), 0, AC$24-$I26 =7, (7-(AC$24-1-$I26))/6, AC$24-$I26 =8, (7-(AC$24-2-$I26))/6*2/3, AC$24-$I26 =9, (7-(AC$24-3-$I26))/6*1/3, TRUE, 0)) *
IF(ISNUMBER(SEARCH("Ordinance",$L26)),7/6,1) *
IF(OR(ISNUMBER(SEARCH("Melee",$L26)),ISNUMBER(SEARCH("Bypass",$L26))),1.5,1)</f>
        <v>0</v>
      </c>
      <c r="AD26" s="17" cm="1">
        <f t="array" ref="AD26">$H26 *
IF(ISNUMBER(SEARCH("Rapid",$L26)),7/6,1) *
IF(OR(ISNUMBER(SEARCH("Beam",$L26)),ISNUMBER(SEARCH("Firestorm",$L26))),1, IF(ISNUMBER(SEARCH("Blast",$L26)),(4+$F26+(2-$F26)*0.5)/6*2,(4+$F26)/6)) *
IF(ISNUMBER(SEARCH("Fusion",$L26)), _xlfn.IFS(AD$24-$I26 &lt;=1, 9/10, AD$24-$I26 &lt;=10,(11-(AD$24-$I26))/10, AD$24-$I26 &gt;=11, 0),
_xlfn.IFS(AD$24-$I26 &lt;=1, 5/6, AD$24-$I26 &lt;=5, (7-(AD$24-$I26))/6, AND(AD$24-$I26 =6,NOT(_xlfn.IFNA(ISNUMBER(SEARCH("Rending",$L26)),FALSE))), (7-(AD$24-$I26))/6, AND(AD$24-$I26 &gt;=7,NOT(_xlfn.IFNA(ISNUMBER(SEARCH("Rending",$L26)),FALSE))), 0, AD$24-$I26 =7, (7-(AD$24-1-$I26))/6, AD$24-$I26 =8, (7-(AD$24-2-$I26))/6*2/3, AD$24-$I26 =9, (7-(AD$24-3-$I26))/6*1/3, TRUE, 0)) *
IF(ISNUMBER(SEARCH("Ordinance",$L26)),7/6,1) *
IF(OR(ISNUMBER(SEARCH("Melee",$L26)),ISNUMBER(SEARCH("Bypass",$L26))),1.5,1)</f>
        <v>0</v>
      </c>
      <c r="AE26" s="17" cm="1">
        <f t="array" ref="AE26">$H26 *
IF(ISNUMBER(SEARCH("Rapid",$L26)),7/6,1) *
IF(OR(ISNUMBER(SEARCH("Beam",$L26)),ISNUMBER(SEARCH("Firestorm",$L26))),1, IF(ISNUMBER(SEARCH("Blast",$L26)),(4+$F26+(2-$F26)*0.5)/6*2,(4+$F26)/6)) *
IF(ISNUMBER(SEARCH("Fusion",$L26)), _xlfn.IFS(AE$24-$I26 &lt;=1, 9/10, AE$24-$I26 &lt;=10,(11-(AE$24-$I26))/10, AE$24-$I26 &gt;=11, 0),
_xlfn.IFS(AE$24-$I26 &lt;=1, 5/6, AE$24-$I26 &lt;=5, (7-(AE$24-$I26))/6, AND(AE$24-$I26 =6,NOT(_xlfn.IFNA(ISNUMBER(SEARCH("Rending",$L26)),FALSE))), (7-(AE$24-$I26))/6, AND(AE$24-$I26 &gt;=7,NOT(_xlfn.IFNA(ISNUMBER(SEARCH("Rending",$L26)),FALSE))), 0, AE$24-$I26 =7, (7-(AE$24-1-$I26))/6, AE$24-$I26 =8, (7-(AE$24-2-$I26))/6*2/3, AE$24-$I26 =9, (7-(AE$24-3-$I26))/6*1/3, TRUE, 0)) *
IF(ISNUMBER(SEARCH("Ordinance",$L26)),7/6,1) *
IF(OR(ISNUMBER(SEARCH("Melee",$L26)),ISNUMBER(SEARCH("Bypass",$L26))),1.5,1)</f>
        <v>0</v>
      </c>
      <c r="AF26" s="17" cm="1">
        <f t="array" ref="AF26">$H26 *
IF(ISNUMBER(SEARCH("Rapid",$L26)),7/6,1) *
IF(OR(ISNUMBER(SEARCH("Beam",$L26)),ISNUMBER(SEARCH("Firestorm",$L26))),1, IF(ISNUMBER(SEARCH("Blast",$L26)),(4+$F26+(2-$F26)*0.5)/6*2,(4+$F26)/6)) *
IF(ISNUMBER(SEARCH("Fusion",$L26)), _xlfn.IFS(AF$24-$I26 &lt;=1, 9/10, AF$24-$I26 &lt;=10,(11-(AF$24-$I26))/10, AF$24-$I26 &gt;=11, 0),
_xlfn.IFS(AF$24-$I26 &lt;=1, 5/6, AF$24-$I26 &lt;=5, (7-(AF$24-$I26))/6, AND(AF$24-$I26 =6,NOT(_xlfn.IFNA(ISNUMBER(SEARCH("Rending",$L26)),FALSE))), (7-(AF$24-$I26))/6, AND(AF$24-$I26 &gt;=7,NOT(_xlfn.IFNA(ISNUMBER(SEARCH("Rending",$L26)),FALSE))), 0, AF$24-$I26 =7, (7-(AF$24-1-$I26))/6, AF$24-$I26 =8, (7-(AF$24-2-$I26))/6*2/3, AF$24-$I26 =9, (7-(AF$24-3-$I26))/6*1/3, TRUE, 0)) *
IF(ISNUMBER(SEARCH("Ordinance",$L26)),7/6,1) *
IF(OR(ISNUMBER(SEARCH("Melee",$L26)),ISNUMBER(SEARCH("Bypass",$L26))),1.5,1)</f>
        <v>0</v>
      </c>
      <c r="AG26" s="16">
        <f>IF(OR(ISNUMBER(SEARCH("Melee",$L26)),ISNUMBER(SEARCH("Bypass",$L26))),0, (($H26 *IF(ISNUMBER(SEARCH("Rapid",$L26)),7/6,1)*IF(OR(ISNUMBER(SEARCH("Beam",$L26)),ISNUMBER(SEARCH("Firestorm",$L26))),1, IF(ISNUMBER(SEARCH("Blast",$L26)),(4+$G26+(2-$G26)*0.5)/6*2,(4+$G26)/6)))+IF(ISNUMBER(SEARCH("Voidbreaker", $L26)),1.89,0)) *IF(ISNUMBER(SEARCH("Shieldbane", $L26)),3/6,2/6))</f>
        <v>1</v>
      </c>
      <c r="AH26" s="16">
        <f>IF(OR(ISNUMBER(SEARCH("Melee",$L26)),ISNUMBER(SEARCH("Bypass",$L26))),0, (($H26 *IF(ISNUMBER(SEARCH("Rapid",$L26)),7/6,1)*IF(OR(ISNUMBER(SEARCH("Beam",$L26)),ISNUMBER(SEARCH("Firestorm",$L26))),1, IF(ISNUMBER(SEARCH("Blast",$L26)),(4+$G26+(2-$G26)*0.5)/6*2,(4+$G26)/6)))+IF(ISNUMBER(SEARCH("Voidbreaker", $L26)),1.89,0)) *IF(ISNUMBER(SEARCH("Shieldbane", $L26)),4/6,3/6))</f>
        <v>1.5</v>
      </c>
      <c r="AI26" s="17" cm="1">
        <f t="array" ref="AI26">$H26 *
IF(ISNUMBER(SEARCH("Rapid",$L26)),7/6,1) *
IF(OR(ISNUMBER(SEARCH("Beam",$L26)),ISNUMBER(SEARCH("Firestorm",$L26))),1, IF(ISNUMBER(SEARCH("Blast",$L26)),(4+$G26+(2-$G26)*0.5)/6*2,(4+$G26)/6)) *
_xlfn.IFS(AI$24-$I26 &lt;=1, 5/6, AI$24-$I26 &lt;=5, (7-(AI$24-$I26))/6, AND(AI$24-$I26 =6,NOT(_xlfn.IFNA(ISNUMBER(SEARCH("Rending",$L26)),FALSE))), (7-(AI$24-$I26))/6, AND(AI$24-$I26 &gt;=7,NOT(_xlfn.IFNA(ISNUMBER(SEARCH("Rending",$L26)),FALSE))), 0, AI$24-$I26 =7, (7-(AI$24-1-$I26))/6, AI$24-$I26 =8, (7-(AI$24-2-$I26))/6*2/3, AI$24-$I26 =9, (7-(AI$24-3-$I26))/6*1/3, TRUE, 0) *
IF(ISNUMBER(SEARCH("Ordinance",$L26)),7/6,1) *
IF(OR(ISNUMBER(SEARCH("Melee",$L26)),ISNUMBER(SEARCH("Bypass",$L26))),1.5,1)</f>
        <v>2.5</v>
      </c>
      <c r="AJ26" s="17" cm="1">
        <f t="array" ref="AJ26">$H26 *
IF(ISNUMBER(SEARCH("Rapid",$L26)),7/6,1) *
IF(OR(ISNUMBER(SEARCH("Beam",$L26)),ISNUMBER(SEARCH("Firestorm",$L26))),1, IF(ISNUMBER(SEARCH("Blast",$L26)),(4+$G26+(2-$G26)*0.5)/6*2,(4+$G26)/6)) *
_xlfn.IFS(AJ$24-$I26 &lt;=1, 5/6, AJ$24-$I26 &lt;=5, (7-(AJ$24-$I26))/6, AND(AJ$24-$I26 =6,NOT(_xlfn.IFNA(ISNUMBER(SEARCH("Rending",$L26)),FALSE))), (7-(AJ$24-$I26))/6, AND(AJ$24-$I26 &gt;=7,NOT(_xlfn.IFNA(ISNUMBER(SEARCH("Rending",$L26)),FALSE))), 0, AJ$24-$I26 =7, (7-(AJ$24-1-$I26))/6, AJ$24-$I26 =8, (7-(AJ$24-2-$I26))/6*2/3, AJ$24-$I26 =9, (7-(AJ$24-3-$I26))/6*1/3, TRUE, 0) *
IF(ISNUMBER(SEARCH("Ordinance",$L26)),7/6,1) *
IF(OR(ISNUMBER(SEARCH("Melee",$L26)),ISNUMBER(SEARCH("Bypass",$L26))),1.5,1)</f>
        <v>2</v>
      </c>
      <c r="AK26" s="17" cm="1">
        <f t="array" ref="AK26">$H26 *
IF(ISNUMBER(SEARCH("Rapid",$L26)),7/6,1) *
IF(OR(ISNUMBER(SEARCH("Beam",$L26)),ISNUMBER(SEARCH("Firestorm",$L26))),1, IF(ISNUMBER(SEARCH("Blast",$L26)),(4+$G26+(2-$G26)*0.5)/6*2,(4+$G26)/6)) *
_xlfn.IFS(AK$24-$I26 &lt;=1, 5/6, AK$24-$I26 &lt;=5, (7-(AK$24-$I26))/6, AND(AK$24-$I26 =6,NOT(_xlfn.IFNA(ISNUMBER(SEARCH("Rending",$L26)),FALSE))), (7-(AK$24-$I26))/6, AND(AK$24-$I26 &gt;=7,NOT(_xlfn.IFNA(ISNUMBER(SEARCH("Rending",$L26)),FALSE))), 0, AK$24-$I26 =7, (7-(AK$24-1-$I26))/6, AK$24-$I26 =8, (7-(AK$24-2-$I26))/6*2/3, AK$24-$I26 =9, (7-(AK$24-3-$I26))/6*1/3, TRUE, 0) *
IF(ISNUMBER(SEARCH("Ordinance",$L26)),7/6,1) *
IF(OR(ISNUMBER(SEARCH("Melee",$L26)),ISNUMBER(SEARCH("Bypass",$L26))),1.5,1)</f>
        <v>1.5</v>
      </c>
      <c r="AL26" s="17" cm="1">
        <f t="array" ref="AL26">$H26 *
IF(ISNUMBER(SEARCH("Rapid",$L26)),7/6,1) *
IF(OR(ISNUMBER(SEARCH("Beam",$L26)),ISNUMBER(SEARCH("Firestorm",$L26))),1, IF(ISNUMBER(SEARCH("Blast",$L26)),(4+$G26+(2-$G26)*0.5)/6*2,(4+$G26)/6)) *
_xlfn.IFS(AL$24-$I26 &lt;=1, 5/6, AL$24-$I26 &lt;=5, (7-(AL$24-$I26))/6, AND(AL$24-$I26 =6,NOT(_xlfn.IFNA(ISNUMBER(SEARCH("Rending",$L26)),FALSE))), (7-(AL$24-$I26))/6, AND(AL$24-$I26 &gt;=7,NOT(_xlfn.IFNA(ISNUMBER(SEARCH("Rending",$L26)),FALSE))), 0, AL$24-$I26 =7, (7-(AL$24-1-$I26))/6, AL$24-$I26 =8, (7-(AL$24-2-$I26))/6*2/3, AL$24-$I26 =9, (7-(AL$24-3-$I26))/6*1/3, TRUE, 0) *
IF(ISNUMBER(SEARCH("Ordinance",$L26)),7/6,1) *
IF(OR(ISNUMBER(SEARCH("Melee",$L26)),ISNUMBER(SEARCH("Bypass",$L26))),1.5,1)</f>
        <v>1</v>
      </c>
      <c r="AM26" s="17" cm="1">
        <f t="array" ref="AM26">$H26 *
IF(ISNUMBER(SEARCH("Rapid",$L26)),7/6,1) *
IF(OR(ISNUMBER(SEARCH("Beam",$L26)),ISNUMBER(SEARCH("Firestorm",$L26))),1, IF(ISNUMBER(SEARCH("Blast",$L26)),(4+$G26+(2-$G26)*0.5)/6*2,(4+$G26)/6)) *
_xlfn.IFS(AM$24-$I26 &lt;=1, 5/6, AM$24-$I26 &lt;=5, (7-(AM$24-$I26))/6, AND(AM$24-$I26 =6,NOT(_xlfn.IFNA(ISNUMBER(SEARCH("Rending",$L26)),FALSE))), (7-(AM$24-$I26))/6, AND(AM$24-$I26 &gt;=7,NOT(_xlfn.IFNA(ISNUMBER(SEARCH("Rending",$L26)),FALSE))), 0, AM$24-$I26 =7, (7-(AM$24-1-$I26))/6, AM$24-$I26 =8, (7-(AM$24-2-$I26))/6*2/3, AM$24-$I26 =9, (7-(AM$24-3-$I26))/6*1/3, TRUE, 0) *
IF(ISNUMBER(SEARCH("Ordinance",$L26)),7/6,1) *
IF(OR(ISNUMBER(SEARCH("Melee",$L26)),ISNUMBER(SEARCH("Bypass",$L26))),1.5,1)</f>
        <v>0.5</v>
      </c>
      <c r="AN26" s="17" cm="1">
        <f t="array" ref="AN26">$H26 *
IF(ISNUMBER(SEARCH("Rapid",$L26)),7/6,1) *
IF(OR(ISNUMBER(SEARCH("Beam",$L26)),ISNUMBER(SEARCH("Firestorm",$L26))),1, IF(ISNUMBER(SEARCH("Blast",$L26)),(4+$G26+(2-$G26)*0.5)/6*2,(4+$G26)/6)) *
_xlfn.IFS(AN$24-$I26 &lt;=1, 5/6, AN$24-$I26 &lt;=5, (7-(AN$24-$I26))/6, AND(AN$24-$I26 =6,NOT(_xlfn.IFNA(ISNUMBER(SEARCH("Rending",$L26)),FALSE))), (7-(AN$24-$I26))/6, AND(AN$24-$I26 &gt;=7,NOT(_xlfn.IFNA(ISNUMBER(SEARCH("Rending",$L26)),FALSE))), 0, AN$24-$I26 =7, (7-(AN$24-1-$I26))/6, AN$24-$I26 =8, (7-(AN$24-2-$I26))/6*2/3, AN$24-$I26 =9, (7-(AN$24-3-$I26))/6*1/3, TRUE, 0) *
IF(ISNUMBER(SEARCH("Ordinance",$L26)),7/6,1) *
IF(OR(ISNUMBER(SEARCH("Melee",$L26)),ISNUMBER(SEARCH("Bypass",$L26))),1.5,1)</f>
        <v>0</v>
      </c>
      <c r="AO26" s="17" cm="1">
        <f t="array" ref="AO26">$H26 *
IF(ISNUMBER(SEARCH("Rapid",$L26)),7/6,1) *
IF(OR(ISNUMBER(SEARCH("Beam",$L26)),ISNUMBER(SEARCH("Firestorm",$L26))),1, IF(ISNUMBER(SEARCH("Blast",$L26)),(4+$G26+(2-$G26)*0.5)/6*2,(4+$G26)/6)) *
_xlfn.IFS(AO$24-$I26 &lt;=1, 5/6, AO$24-$I26 &lt;=5, (7-(AO$24-$I26))/6, AND(AO$24-$I26 =6,NOT(_xlfn.IFNA(ISNUMBER(SEARCH("Rending",$L26)),FALSE))), (7-(AO$24-$I26))/6, AND(AO$24-$I26 &gt;=7,NOT(_xlfn.IFNA(ISNUMBER(SEARCH("Rending",$L26)),FALSE))), 0, AO$24-$I26 =7, (7-(AO$24-1-$I26))/6, AO$24-$I26 =8, (7-(AO$24-2-$I26))/6*2/3, AO$24-$I26 =9, (7-(AO$24-3-$I26))/6*1/3, TRUE, 0) *
IF(ISNUMBER(SEARCH("Ordinance",$L26)),7/6,1) *
IF(OR(ISNUMBER(SEARCH("Melee",$L26)),ISNUMBER(SEARCH("Bypass",$L26))),1.5,1)</f>
        <v>0</v>
      </c>
      <c r="AP26" s="17" cm="1">
        <f t="array" ref="AP26">$H26 *
IF(ISNUMBER(SEARCH("Rapid",$L26)),7/6,1) *
IF(OR(ISNUMBER(SEARCH("Beam",$L26)),ISNUMBER(SEARCH("Firestorm",$L26))),1, IF(ISNUMBER(SEARCH("Blast",$L26)),(4+$G26+(2-$G26)*0.5)/6*2,(4+$G26)/6)) *
_xlfn.IFS(AP$24-$I26 &lt;=1, 5/6, AP$24-$I26 &lt;=5, (7-(AP$24-$I26))/6, AND(AP$24-$I26 =6,NOT(_xlfn.IFNA(ISNUMBER(SEARCH("Rending",$L26)),FALSE))), (7-(AP$24-$I26))/6, AND(AP$24-$I26 &gt;=7,NOT(_xlfn.IFNA(ISNUMBER(SEARCH("Rending",$L26)),FALSE))), 0, AP$24-$I26 =7, (7-(AP$24-1-$I26))/6, AP$24-$I26 =8, (7-(AP$24-2-$I26))/6*2/3, AP$24-$I26 =9, (7-(AP$24-3-$I26))/6*1/3, TRUE, 0) *
IF(ISNUMBER(SEARCH("Ordinance",$L26)),7/6,1) *
IF(OR(ISNUMBER(SEARCH("Melee",$L26)),ISNUMBER(SEARCH("Bypass",$L26))),1.5,1)</f>
        <v>0</v>
      </c>
      <c r="AQ26" s="17" cm="1">
        <f t="array" ref="AQ26">$H26 *
IF(ISNUMBER(SEARCH("Rapid",$L26)),7/6,1) *
IF(OR(ISNUMBER(SEARCH("Beam",$L26)),ISNUMBER(SEARCH("Firestorm",$L26))),1, IF(ISNUMBER(SEARCH("Blast",$L26)),(4+$G26+(2-$G26)*0.5)/6*2,(4+$G26)/6)) *
_xlfn.IFS(AQ$24-$I26 &lt;=1, 5/6, AQ$24-$I26 &lt;=5, (7-(AQ$24-$I26))/6, AND(AQ$24-$I26 =6,NOT(_xlfn.IFNA(ISNUMBER(SEARCH("Rending",$L26)),FALSE))), (7-(AQ$24-$I26))/6, AND(AQ$24-$I26 &gt;=7,NOT(_xlfn.IFNA(ISNUMBER(SEARCH("Rending",$L26)),FALSE))), 0, AQ$24-$I26 =7, (7-(AQ$24-1-$I26))/6, AQ$24-$I26 =8, (7-(AQ$24-2-$I26))/6*2/3, AQ$24-$I26 =9, (7-(AQ$24-3-$I26))/6*1/3, TRUE, 0) *
IF(ISNUMBER(SEARCH("Ordinance",$L26)),7/6,1) *
IF(OR(ISNUMBER(SEARCH("Melee",$L26)),ISNUMBER(SEARCH("Bypass",$L26))),1.5,1)</f>
        <v>0</v>
      </c>
      <c r="AS26" s="16">
        <f>IF($E26=1,AG26*3,IF($E26=2,2*AG26,1.1*AG26))/3</f>
        <v>0.3666666666666667</v>
      </c>
      <c r="AT26" s="16">
        <f>IF($E26=1,AH26*3,IF($E26=2,2*AH26,1.1*AH26))/3</f>
        <v>0.55000000000000004</v>
      </c>
      <c r="AU26" s="16">
        <f t="shared" ref="AU26:AU38" si="0">IF(D26+E26=3,
 IF(E26=3, 2.5*AI26,
  IF(E26=2, 1.8*AI26+0.7*X26,
   IF(E26=1, 0.95*AI26+1.55*X26,
    2.5*X26))),
 IF(D26+E26=2,
  IF(E26=2, 1.55*AI26,
   IF(E26 =1, 0.85*AI26+0.7*X26,
    1.55*X26)),
  IF(E26=1, 0.95*AI26,
   0.7*X26))
)/3</f>
        <v>1.2916666666666667</v>
      </c>
      <c r="AV26" s="2">
        <v>9</v>
      </c>
    </row>
    <row r="27" spans="1:48" x14ac:dyDescent="0.3">
      <c r="A27" t="s">
        <v>131</v>
      </c>
      <c r="B27" s="3">
        <v>8</v>
      </c>
      <c r="C27" s="3">
        <v>20</v>
      </c>
      <c r="D27" s="3">
        <v>1</v>
      </c>
      <c r="E27" s="3">
        <v>1</v>
      </c>
      <c r="F27" s="10">
        <v>1</v>
      </c>
      <c r="G27" s="10">
        <v>0</v>
      </c>
      <c r="H27" s="3">
        <v>6</v>
      </c>
      <c r="I27" s="3">
        <v>4</v>
      </c>
      <c r="J27" s="3" t="s">
        <v>198</v>
      </c>
      <c r="K27" s="3">
        <v>10</v>
      </c>
      <c r="L27" s="3" t="s">
        <v>286</v>
      </c>
      <c r="M27" s="3" t="s">
        <v>199</v>
      </c>
      <c r="N27" s="3">
        <v>9</v>
      </c>
      <c r="O27" s="3">
        <v>9</v>
      </c>
      <c r="P27" s="3">
        <v>13</v>
      </c>
      <c r="Q27" s="3" t="s">
        <v>200</v>
      </c>
      <c r="R27" s="3">
        <v>7</v>
      </c>
      <c r="S27" s="3">
        <v>9</v>
      </c>
      <c r="T27" s="3">
        <v>3</v>
      </c>
      <c r="U27" t="s">
        <v>287</v>
      </c>
      <c r="V27" s="16">
        <f t="shared" ref="V27:V64" si="1">IF(OR(ISNUMBER(SEARCH("Melee",$L27)),ISNUMBER(SEARCH("Bypass",$L27))),0, (($H27 *IF(ISNUMBER(SEARCH("Rapid",$L27)),7/6,1)*IF(OR(ISNUMBER(SEARCH("Beam",$L27)),ISNUMBER(SEARCH("Firestorm",$L27))),1, IF(ISNUMBER(SEARCH("Blast",$L27)),(4+$F27+(2-$F27)*0.5)/6*2,(4+$F27)/6)))+IF(ISNUMBER(SEARCH("Voidbreaker", $L27)),1.89,0)) *IF(ISNUMBER(SEARCH("Shieldbane", $L27)),3/6,2/6))</f>
        <v>1.9444444444444446</v>
      </c>
      <c r="W27" s="16">
        <f t="shared" ref="W27:W64" si="2">IF(OR(ISNUMBER(SEARCH("Melee",$L27)),ISNUMBER(SEARCH("Bypass",$L27))),0, (($H27 *IF(ISNUMBER(SEARCH("Rapid",$L27)),7/6,1)*IF(OR(ISNUMBER(SEARCH("Beam",$L27)),ISNUMBER(SEARCH("Firestorm",$L27))),1, IF(ISNUMBER(SEARCH("Blast",$L27)),(4+$F27+(2-$F27)*0.5)/6*2,(4+$F27)/6)))+IF(ISNUMBER(SEARCH("Voidbreaker", $L27)),1.89,0)) *IF(ISNUMBER(SEARCH("Shieldbane", $L27)),4/6,3/6))</f>
        <v>2.916666666666667</v>
      </c>
      <c r="X27" s="17" cm="1">
        <f t="array" ref="X27">$H27 *
IF(ISNUMBER(SEARCH("Rapid",$L27)),7/6,1) *
IF(OR(ISNUMBER(SEARCH("Beam",$L27)),ISNUMBER(SEARCH("Firestorm",$L27))),1, IF(ISNUMBER(SEARCH("Blast",$L27)),(4+$F27+(2-$F27)*0.5)/6*2,(4+$F27)/6)) *
IF(ISNUMBER(SEARCH("Fusion",$L27)), _xlfn.IFS(X$24-$I27 &lt;=1, 9/10, X$24-$I27 &lt;=10,(11-(X$24-$I27))/10, X$24-$I27 &gt;=11, 0),
_xlfn.IFS(X$24-$I27 &lt;=1, 5/6, X$24-$I27 &lt;=5, (7-(X$24-$I27))/6, AND(X$24-$I27 =6,NOT(_xlfn.IFNA(ISNUMBER(SEARCH("Rending",$L27)),FALSE))), (7-(X$24-$I27))/6, AND(X$24-$I27 &gt;=7,NOT(_xlfn.IFNA(ISNUMBER(SEARCH("Rending",$L27)),FALSE))), 0, X$24-$I27 =7, (7-(X$24-1-$I27))/6, X$24-$I27 =8, (7-(X$24-2-$I27))/6*2/3, X$24-$I27 =9, (7-(X$24-3-$I27))/6*1/3, TRUE, 0)) *
IF(ISNUMBER(SEARCH("Ordinance",$L27)),7/6,1) *
IF(OR(ISNUMBER(SEARCH("Melee",$L27)),ISNUMBER(SEARCH("Bypass",$L27))),1.5,1)</f>
        <v>1.9444444444444446</v>
      </c>
      <c r="Y27" s="17" cm="1">
        <f t="array" ref="Y27">$H27 *
IF(ISNUMBER(SEARCH("Rapid",$L27)),7/6,1) *
IF(OR(ISNUMBER(SEARCH("Beam",$L27)),ISNUMBER(SEARCH("Firestorm",$L27))),1, IF(ISNUMBER(SEARCH("Blast",$L27)),(4+$F27+(2-$F27)*0.5)/6*2,(4+$F27)/6)) *
IF(ISNUMBER(SEARCH("Fusion",$L27)), _xlfn.IFS(Y$24-$I27 &lt;=1, 9/10, Y$24-$I27 &lt;=10,(11-(Y$24-$I27))/10, Y$24-$I27 &gt;=11, 0),
_xlfn.IFS(Y$24-$I27 &lt;=1, 5/6, Y$24-$I27 &lt;=5, (7-(Y$24-$I27))/6, AND(Y$24-$I27 =6,NOT(_xlfn.IFNA(ISNUMBER(SEARCH("Rending",$L27)),FALSE))), (7-(Y$24-$I27))/6, AND(Y$24-$I27 &gt;=7,NOT(_xlfn.IFNA(ISNUMBER(SEARCH("Rending",$L27)),FALSE))), 0, Y$24-$I27 =7, (7-(Y$24-1-$I27))/6, Y$24-$I27 =8, (7-(Y$24-2-$I27))/6*2/3, Y$24-$I27 =9, (7-(Y$24-3-$I27))/6*1/3, TRUE, 0)) *
IF(ISNUMBER(SEARCH("Ordinance",$L27)),7/6,1) *
IF(OR(ISNUMBER(SEARCH("Melee",$L27)),ISNUMBER(SEARCH("Bypass",$L27))),1.5,1)</f>
        <v>0.97222222222222232</v>
      </c>
      <c r="Z27" s="17" cm="1">
        <f t="array" ref="Z27">$H27 *
IF(ISNUMBER(SEARCH("Rapid",$L27)),7/6,1) *
IF(OR(ISNUMBER(SEARCH("Beam",$L27)),ISNUMBER(SEARCH("Firestorm",$L27))),1, IF(ISNUMBER(SEARCH("Blast",$L27)),(4+$F27+(2-$F27)*0.5)/6*2,(4+$F27)/6)) *
IF(ISNUMBER(SEARCH("Fusion",$L27)), _xlfn.IFS(Z$24-$I27 &lt;=1, 9/10, Z$24-$I27 &lt;=10,(11-(Z$24-$I27))/10, Z$24-$I27 &gt;=11, 0),
_xlfn.IFS(Z$24-$I27 &lt;=1, 5/6, Z$24-$I27 &lt;=5, (7-(Z$24-$I27))/6, AND(Z$24-$I27 =6,NOT(_xlfn.IFNA(ISNUMBER(SEARCH("Rending",$L27)),FALSE))), (7-(Z$24-$I27))/6, AND(Z$24-$I27 &gt;=7,NOT(_xlfn.IFNA(ISNUMBER(SEARCH("Rending",$L27)),FALSE))), 0, Z$24-$I27 =7, (7-(Z$24-1-$I27))/6, Z$24-$I27 =8, (7-(Z$24-2-$I27))/6*2/3, Z$24-$I27 =9, (7-(Z$24-3-$I27))/6*1/3, TRUE, 0)) *
IF(ISNUMBER(SEARCH("Ordinance",$L27)),7/6,1) *
IF(OR(ISNUMBER(SEARCH("Melee",$L27)),ISNUMBER(SEARCH("Bypass",$L27))),1.5,1)</f>
        <v>0</v>
      </c>
      <c r="AA27" s="17" cm="1">
        <f t="array" ref="AA27">$H27 *
IF(ISNUMBER(SEARCH("Rapid",$L27)),7/6,1) *
IF(OR(ISNUMBER(SEARCH("Beam",$L27)),ISNUMBER(SEARCH("Firestorm",$L27))),1, IF(ISNUMBER(SEARCH("Blast",$L27)),(4+$F27+(2-$F27)*0.5)/6*2,(4+$F27)/6)) *
IF(ISNUMBER(SEARCH("Fusion",$L27)), _xlfn.IFS(AA$24-$I27 &lt;=1, 9/10, AA$24-$I27 &lt;=10,(11-(AA$24-$I27))/10, AA$24-$I27 &gt;=11, 0),
_xlfn.IFS(AA$24-$I27 &lt;=1, 5/6, AA$24-$I27 &lt;=5, (7-(AA$24-$I27))/6, AND(AA$24-$I27 =6,NOT(_xlfn.IFNA(ISNUMBER(SEARCH("Rending",$L27)),FALSE))), (7-(AA$24-$I27))/6, AND(AA$24-$I27 &gt;=7,NOT(_xlfn.IFNA(ISNUMBER(SEARCH("Rending",$L27)),FALSE))), 0, AA$24-$I27 =7, (7-(AA$24-1-$I27))/6, AA$24-$I27 =8, (7-(AA$24-2-$I27))/6*2/3, AA$24-$I27 =9, (7-(AA$24-3-$I27))/6*1/3, TRUE, 0)) *
IF(ISNUMBER(SEARCH("Ordinance",$L27)),7/6,1) *
IF(OR(ISNUMBER(SEARCH("Melee",$L27)),ISNUMBER(SEARCH("Bypass",$L27))),1.5,1)</f>
        <v>0</v>
      </c>
      <c r="AB27" s="17" cm="1">
        <f t="array" ref="AB27">$H27 *
IF(ISNUMBER(SEARCH("Rapid",$L27)),7/6,1) *
IF(OR(ISNUMBER(SEARCH("Beam",$L27)),ISNUMBER(SEARCH("Firestorm",$L27))),1, IF(ISNUMBER(SEARCH("Blast",$L27)),(4+$F27+(2-$F27)*0.5)/6*2,(4+$F27)/6)) *
IF(ISNUMBER(SEARCH("Fusion",$L27)), _xlfn.IFS(AB$24-$I27 &lt;=1, 9/10, AB$24-$I27 &lt;=10,(11-(AB$24-$I27))/10, AB$24-$I27 &gt;=11, 0),
_xlfn.IFS(AB$24-$I27 &lt;=1, 5/6, AB$24-$I27 &lt;=5, (7-(AB$24-$I27))/6, AND(AB$24-$I27 =6,NOT(_xlfn.IFNA(ISNUMBER(SEARCH("Rending",$L27)),FALSE))), (7-(AB$24-$I27))/6, AND(AB$24-$I27 &gt;=7,NOT(_xlfn.IFNA(ISNUMBER(SEARCH("Rending",$L27)),FALSE))), 0, AB$24-$I27 =7, (7-(AB$24-1-$I27))/6, AB$24-$I27 =8, (7-(AB$24-2-$I27))/6*2/3, AB$24-$I27 =9, (7-(AB$24-3-$I27))/6*1/3, TRUE, 0)) *
IF(ISNUMBER(SEARCH("Ordinance",$L27)),7/6,1) *
IF(OR(ISNUMBER(SEARCH("Melee",$L27)),ISNUMBER(SEARCH("Bypass",$L27))),1.5,1)</f>
        <v>0</v>
      </c>
      <c r="AC27" s="17" cm="1">
        <f t="array" ref="AC27">$H27 *
IF(ISNUMBER(SEARCH("Rapid",$L27)),7/6,1) *
IF(OR(ISNUMBER(SEARCH("Beam",$L27)),ISNUMBER(SEARCH("Firestorm",$L27))),1, IF(ISNUMBER(SEARCH("Blast",$L27)),(4+$F27+(2-$F27)*0.5)/6*2,(4+$F27)/6)) *
IF(ISNUMBER(SEARCH("Fusion",$L27)), _xlfn.IFS(AC$24-$I27 &lt;=1, 9/10, AC$24-$I27 &lt;=10,(11-(AC$24-$I27))/10, AC$24-$I27 &gt;=11, 0),
_xlfn.IFS(AC$24-$I27 &lt;=1, 5/6, AC$24-$I27 &lt;=5, (7-(AC$24-$I27))/6, AND(AC$24-$I27 =6,NOT(_xlfn.IFNA(ISNUMBER(SEARCH("Rending",$L27)),FALSE))), (7-(AC$24-$I27))/6, AND(AC$24-$I27 &gt;=7,NOT(_xlfn.IFNA(ISNUMBER(SEARCH("Rending",$L27)),FALSE))), 0, AC$24-$I27 =7, (7-(AC$24-1-$I27))/6, AC$24-$I27 =8, (7-(AC$24-2-$I27))/6*2/3, AC$24-$I27 =9, (7-(AC$24-3-$I27))/6*1/3, TRUE, 0)) *
IF(ISNUMBER(SEARCH("Ordinance",$L27)),7/6,1) *
IF(OR(ISNUMBER(SEARCH("Melee",$L27)),ISNUMBER(SEARCH("Bypass",$L27))),1.5,1)</f>
        <v>0</v>
      </c>
      <c r="AD27" s="17" cm="1">
        <f t="array" ref="AD27">$H27 *
IF(ISNUMBER(SEARCH("Rapid",$L27)),7/6,1) *
IF(OR(ISNUMBER(SEARCH("Beam",$L27)),ISNUMBER(SEARCH("Firestorm",$L27))),1, IF(ISNUMBER(SEARCH("Blast",$L27)),(4+$F27+(2-$F27)*0.5)/6*2,(4+$F27)/6)) *
IF(ISNUMBER(SEARCH("Fusion",$L27)), _xlfn.IFS(AD$24-$I27 &lt;=1, 9/10, AD$24-$I27 &lt;=10,(11-(AD$24-$I27))/10, AD$24-$I27 &gt;=11, 0),
_xlfn.IFS(AD$24-$I27 &lt;=1, 5/6, AD$24-$I27 &lt;=5, (7-(AD$24-$I27))/6, AND(AD$24-$I27 =6,NOT(_xlfn.IFNA(ISNUMBER(SEARCH("Rending",$L27)),FALSE))), (7-(AD$24-$I27))/6, AND(AD$24-$I27 &gt;=7,NOT(_xlfn.IFNA(ISNUMBER(SEARCH("Rending",$L27)),FALSE))), 0, AD$24-$I27 =7, (7-(AD$24-1-$I27))/6, AD$24-$I27 =8, (7-(AD$24-2-$I27))/6*2/3, AD$24-$I27 =9, (7-(AD$24-3-$I27))/6*1/3, TRUE, 0)) *
IF(ISNUMBER(SEARCH("Ordinance",$L27)),7/6,1) *
IF(OR(ISNUMBER(SEARCH("Melee",$L27)),ISNUMBER(SEARCH("Bypass",$L27))),1.5,1)</f>
        <v>0</v>
      </c>
      <c r="AE27" s="17" cm="1">
        <f t="array" ref="AE27">$H27 *
IF(ISNUMBER(SEARCH("Rapid",$L27)),7/6,1) *
IF(OR(ISNUMBER(SEARCH("Beam",$L27)),ISNUMBER(SEARCH("Firestorm",$L27))),1, IF(ISNUMBER(SEARCH("Blast",$L27)),(4+$F27+(2-$F27)*0.5)/6*2,(4+$F27)/6)) *
IF(ISNUMBER(SEARCH("Fusion",$L27)), _xlfn.IFS(AE$24-$I27 &lt;=1, 9/10, AE$24-$I27 &lt;=10,(11-(AE$24-$I27))/10, AE$24-$I27 &gt;=11, 0),
_xlfn.IFS(AE$24-$I27 &lt;=1, 5/6, AE$24-$I27 &lt;=5, (7-(AE$24-$I27))/6, AND(AE$24-$I27 =6,NOT(_xlfn.IFNA(ISNUMBER(SEARCH("Rending",$L27)),FALSE))), (7-(AE$24-$I27))/6, AND(AE$24-$I27 &gt;=7,NOT(_xlfn.IFNA(ISNUMBER(SEARCH("Rending",$L27)),FALSE))), 0, AE$24-$I27 =7, (7-(AE$24-1-$I27))/6, AE$24-$I27 =8, (7-(AE$24-2-$I27))/6*2/3, AE$24-$I27 =9, (7-(AE$24-3-$I27))/6*1/3, TRUE, 0)) *
IF(ISNUMBER(SEARCH("Ordinance",$L27)),7/6,1) *
IF(OR(ISNUMBER(SEARCH("Melee",$L27)),ISNUMBER(SEARCH("Bypass",$L27))),1.5,1)</f>
        <v>0</v>
      </c>
      <c r="AF27" s="17" cm="1">
        <f t="array" ref="AF27">$H27 *
IF(ISNUMBER(SEARCH("Rapid",$L27)),7/6,1) *
IF(OR(ISNUMBER(SEARCH("Beam",$L27)),ISNUMBER(SEARCH("Firestorm",$L27))),1, IF(ISNUMBER(SEARCH("Blast",$L27)),(4+$F27+(2-$F27)*0.5)/6*2,(4+$F27)/6)) *
IF(ISNUMBER(SEARCH("Fusion",$L27)), _xlfn.IFS(AF$24-$I27 &lt;=1, 9/10, AF$24-$I27 &lt;=10,(11-(AF$24-$I27))/10, AF$24-$I27 &gt;=11, 0),
_xlfn.IFS(AF$24-$I27 &lt;=1, 5/6, AF$24-$I27 &lt;=5, (7-(AF$24-$I27))/6, AND(AF$24-$I27 =6,NOT(_xlfn.IFNA(ISNUMBER(SEARCH("Rending",$L27)),FALSE))), (7-(AF$24-$I27))/6, AND(AF$24-$I27 &gt;=7,NOT(_xlfn.IFNA(ISNUMBER(SEARCH("Rending",$L27)),FALSE))), 0, AF$24-$I27 =7, (7-(AF$24-1-$I27))/6, AF$24-$I27 =8, (7-(AF$24-2-$I27))/6*2/3, AF$24-$I27 =9, (7-(AF$24-3-$I27))/6*1/3, TRUE, 0)) *
IF(ISNUMBER(SEARCH("Ordinance",$L27)),7/6,1) *
IF(OR(ISNUMBER(SEARCH("Melee",$L27)),ISNUMBER(SEARCH("Bypass",$L27))),1.5,1)</f>
        <v>0</v>
      </c>
      <c r="AG27" s="16">
        <f t="shared" ref="AG27:AG64" si="3">IF(OR(ISNUMBER(SEARCH("Melee",$L27)),ISNUMBER(SEARCH("Bypass",$L27))),0, (($H27 *IF(ISNUMBER(SEARCH("Rapid",$L27)),7/6,1)*IF(OR(ISNUMBER(SEARCH("Beam",$L27)),ISNUMBER(SEARCH("Firestorm",$L27))),1, IF(ISNUMBER(SEARCH("Blast",$L27)),(4+$G27+(2-$G27)*0.5)/6*2,(4+$G27)/6)))+IF(ISNUMBER(SEARCH("Voidbreaker", $L27)),1.89,0)) *IF(ISNUMBER(SEARCH("Shieldbane", $L27)),3/6,2/6))</f>
        <v>1.5555555555555554</v>
      </c>
      <c r="AH27" s="16">
        <f t="shared" ref="AH27:AH64" si="4">IF(OR(ISNUMBER(SEARCH("Melee",$L27)),ISNUMBER(SEARCH("Bypass",$L27))),0, (($H27 *IF(ISNUMBER(SEARCH("Rapid",$L27)),7/6,1)*IF(OR(ISNUMBER(SEARCH("Beam",$L27)),ISNUMBER(SEARCH("Firestorm",$L27))),1, IF(ISNUMBER(SEARCH("Blast",$L27)),(4+$G27+(2-$G27)*0.5)/6*2,(4+$G27)/6)))+IF(ISNUMBER(SEARCH("Voidbreaker", $L27)),1.89,0)) *IF(ISNUMBER(SEARCH("Shieldbane", $L27)),4/6,3/6))</f>
        <v>2.333333333333333</v>
      </c>
      <c r="AI27" s="17" cm="1">
        <f t="array" ref="AI27">$H27 *
IF(ISNUMBER(SEARCH("Rapid",$L27)),7/6,1) *
IF(OR(ISNUMBER(SEARCH("Beam",$L27)),ISNUMBER(SEARCH("Firestorm",$L27))),1, IF(ISNUMBER(SEARCH("Blast",$L27)),(4+$G27+(2-$G27)*0.5)/6*2,(4+$G27)/6)) *
_xlfn.IFS(AI$24-$I27 &lt;=1, 5/6, AI$24-$I27 &lt;=5, (7-(AI$24-$I27))/6, AND(AI$24-$I27 =6,NOT(_xlfn.IFNA(ISNUMBER(SEARCH("Rending",$L27)),FALSE))), (7-(AI$24-$I27))/6, AND(AI$24-$I27 &gt;=7,NOT(_xlfn.IFNA(ISNUMBER(SEARCH("Rending",$L27)),FALSE))), 0, AI$24-$I27 =7, (7-(AI$24-1-$I27))/6, AI$24-$I27 =8, (7-(AI$24-2-$I27))/6*2/3, AI$24-$I27 =9, (7-(AI$24-3-$I27))/6*1/3, TRUE, 0) *
IF(ISNUMBER(SEARCH("Ordinance",$L27)),7/6,1) *
IF(OR(ISNUMBER(SEARCH("Melee",$L27)),ISNUMBER(SEARCH("Bypass",$L27))),1.5,1)</f>
        <v>1.5555555555555554</v>
      </c>
      <c r="AJ27" s="17" cm="1">
        <f t="array" ref="AJ27">$H27 *
IF(ISNUMBER(SEARCH("Rapid",$L27)),7/6,1) *
IF(OR(ISNUMBER(SEARCH("Beam",$L27)),ISNUMBER(SEARCH("Firestorm",$L27))),1, IF(ISNUMBER(SEARCH("Blast",$L27)),(4+$G27+(2-$G27)*0.5)/6*2,(4+$G27)/6)) *
_xlfn.IFS(AJ$24-$I27 &lt;=1, 5/6, AJ$24-$I27 &lt;=5, (7-(AJ$24-$I27))/6, AND(AJ$24-$I27 =6,NOT(_xlfn.IFNA(ISNUMBER(SEARCH("Rending",$L27)),FALSE))), (7-(AJ$24-$I27))/6, AND(AJ$24-$I27 &gt;=7,NOT(_xlfn.IFNA(ISNUMBER(SEARCH("Rending",$L27)),FALSE))), 0, AJ$24-$I27 =7, (7-(AJ$24-1-$I27))/6, AJ$24-$I27 =8, (7-(AJ$24-2-$I27))/6*2/3, AJ$24-$I27 =9, (7-(AJ$24-3-$I27))/6*1/3, TRUE, 0) *
IF(ISNUMBER(SEARCH("Ordinance",$L27)),7/6,1) *
IF(OR(ISNUMBER(SEARCH("Melee",$L27)),ISNUMBER(SEARCH("Bypass",$L27))),1.5,1)</f>
        <v>0.77777777777777768</v>
      </c>
      <c r="AK27" s="17" cm="1">
        <f t="array" ref="AK27">$H27 *
IF(ISNUMBER(SEARCH("Rapid",$L27)),7/6,1) *
IF(OR(ISNUMBER(SEARCH("Beam",$L27)),ISNUMBER(SEARCH("Firestorm",$L27))),1, IF(ISNUMBER(SEARCH("Blast",$L27)),(4+$G27+(2-$G27)*0.5)/6*2,(4+$G27)/6)) *
_xlfn.IFS(AK$24-$I27 &lt;=1, 5/6, AK$24-$I27 &lt;=5, (7-(AK$24-$I27))/6, AND(AK$24-$I27 =6,NOT(_xlfn.IFNA(ISNUMBER(SEARCH("Rending",$L27)),FALSE))), (7-(AK$24-$I27))/6, AND(AK$24-$I27 &gt;=7,NOT(_xlfn.IFNA(ISNUMBER(SEARCH("Rending",$L27)),FALSE))), 0, AK$24-$I27 =7, (7-(AK$24-1-$I27))/6, AK$24-$I27 =8, (7-(AK$24-2-$I27))/6*2/3, AK$24-$I27 =9, (7-(AK$24-3-$I27))/6*1/3, TRUE, 0) *
IF(ISNUMBER(SEARCH("Ordinance",$L27)),7/6,1) *
IF(OR(ISNUMBER(SEARCH("Melee",$L27)),ISNUMBER(SEARCH("Bypass",$L27))),1.5,1)</f>
        <v>0</v>
      </c>
      <c r="AL27" s="17" cm="1">
        <f t="array" ref="AL27">$H27 *
IF(ISNUMBER(SEARCH("Rapid",$L27)),7/6,1) *
IF(OR(ISNUMBER(SEARCH("Beam",$L27)),ISNUMBER(SEARCH("Firestorm",$L27))),1, IF(ISNUMBER(SEARCH("Blast",$L27)),(4+$G27+(2-$G27)*0.5)/6*2,(4+$G27)/6)) *
_xlfn.IFS(AL$24-$I27 &lt;=1, 5/6, AL$24-$I27 &lt;=5, (7-(AL$24-$I27))/6, AND(AL$24-$I27 =6,NOT(_xlfn.IFNA(ISNUMBER(SEARCH("Rending",$L27)),FALSE))), (7-(AL$24-$I27))/6, AND(AL$24-$I27 &gt;=7,NOT(_xlfn.IFNA(ISNUMBER(SEARCH("Rending",$L27)),FALSE))), 0, AL$24-$I27 =7, (7-(AL$24-1-$I27))/6, AL$24-$I27 =8, (7-(AL$24-2-$I27))/6*2/3, AL$24-$I27 =9, (7-(AL$24-3-$I27))/6*1/3, TRUE, 0) *
IF(ISNUMBER(SEARCH("Ordinance",$L27)),7/6,1) *
IF(OR(ISNUMBER(SEARCH("Melee",$L27)),ISNUMBER(SEARCH("Bypass",$L27))),1.5,1)</f>
        <v>0</v>
      </c>
      <c r="AM27" s="17" cm="1">
        <f t="array" ref="AM27">$H27 *
IF(ISNUMBER(SEARCH("Rapid",$L27)),7/6,1) *
IF(OR(ISNUMBER(SEARCH("Beam",$L27)),ISNUMBER(SEARCH("Firestorm",$L27))),1, IF(ISNUMBER(SEARCH("Blast",$L27)),(4+$G27+(2-$G27)*0.5)/6*2,(4+$G27)/6)) *
_xlfn.IFS(AM$24-$I27 &lt;=1, 5/6, AM$24-$I27 &lt;=5, (7-(AM$24-$I27))/6, AND(AM$24-$I27 =6,NOT(_xlfn.IFNA(ISNUMBER(SEARCH("Rending",$L27)),FALSE))), (7-(AM$24-$I27))/6, AND(AM$24-$I27 &gt;=7,NOT(_xlfn.IFNA(ISNUMBER(SEARCH("Rending",$L27)),FALSE))), 0, AM$24-$I27 =7, (7-(AM$24-1-$I27))/6, AM$24-$I27 =8, (7-(AM$24-2-$I27))/6*2/3, AM$24-$I27 =9, (7-(AM$24-3-$I27))/6*1/3, TRUE, 0) *
IF(ISNUMBER(SEARCH("Ordinance",$L27)),7/6,1) *
IF(OR(ISNUMBER(SEARCH("Melee",$L27)),ISNUMBER(SEARCH("Bypass",$L27))),1.5,1)</f>
        <v>0</v>
      </c>
      <c r="AN27" s="17" cm="1">
        <f t="array" ref="AN27">$H27 *
IF(ISNUMBER(SEARCH("Rapid",$L27)),7/6,1) *
IF(OR(ISNUMBER(SEARCH("Beam",$L27)),ISNUMBER(SEARCH("Firestorm",$L27))),1, IF(ISNUMBER(SEARCH("Blast",$L27)),(4+$G27+(2-$G27)*0.5)/6*2,(4+$G27)/6)) *
_xlfn.IFS(AN$24-$I27 &lt;=1, 5/6, AN$24-$I27 &lt;=5, (7-(AN$24-$I27))/6, AND(AN$24-$I27 =6,NOT(_xlfn.IFNA(ISNUMBER(SEARCH("Rending",$L27)),FALSE))), (7-(AN$24-$I27))/6, AND(AN$24-$I27 &gt;=7,NOT(_xlfn.IFNA(ISNUMBER(SEARCH("Rending",$L27)),FALSE))), 0, AN$24-$I27 =7, (7-(AN$24-1-$I27))/6, AN$24-$I27 =8, (7-(AN$24-2-$I27))/6*2/3, AN$24-$I27 =9, (7-(AN$24-3-$I27))/6*1/3, TRUE, 0) *
IF(ISNUMBER(SEARCH("Ordinance",$L27)),7/6,1) *
IF(OR(ISNUMBER(SEARCH("Melee",$L27)),ISNUMBER(SEARCH("Bypass",$L27))),1.5,1)</f>
        <v>0</v>
      </c>
      <c r="AO27" s="17" cm="1">
        <f t="array" ref="AO27">$H27 *
IF(ISNUMBER(SEARCH("Rapid",$L27)),7/6,1) *
IF(OR(ISNUMBER(SEARCH("Beam",$L27)),ISNUMBER(SEARCH("Firestorm",$L27))),1, IF(ISNUMBER(SEARCH("Blast",$L27)),(4+$G27+(2-$G27)*0.5)/6*2,(4+$G27)/6)) *
_xlfn.IFS(AO$24-$I27 &lt;=1, 5/6, AO$24-$I27 &lt;=5, (7-(AO$24-$I27))/6, AND(AO$24-$I27 =6,NOT(_xlfn.IFNA(ISNUMBER(SEARCH("Rending",$L27)),FALSE))), (7-(AO$24-$I27))/6, AND(AO$24-$I27 &gt;=7,NOT(_xlfn.IFNA(ISNUMBER(SEARCH("Rending",$L27)),FALSE))), 0, AO$24-$I27 =7, (7-(AO$24-1-$I27))/6, AO$24-$I27 =8, (7-(AO$24-2-$I27))/6*2/3, AO$24-$I27 =9, (7-(AO$24-3-$I27))/6*1/3, TRUE, 0) *
IF(ISNUMBER(SEARCH("Ordinance",$L27)),7/6,1) *
IF(OR(ISNUMBER(SEARCH("Melee",$L27)),ISNUMBER(SEARCH("Bypass",$L27))),1.5,1)</f>
        <v>0</v>
      </c>
      <c r="AP27" s="17" cm="1">
        <f t="array" ref="AP27">$H27 *
IF(ISNUMBER(SEARCH("Rapid",$L27)),7/6,1) *
IF(OR(ISNUMBER(SEARCH("Beam",$L27)),ISNUMBER(SEARCH("Firestorm",$L27))),1, IF(ISNUMBER(SEARCH("Blast",$L27)),(4+$G27+(2-$G27)*0.5)/6*2,(4+$G27)/6)) *
_xlfn.IFS(AP$24-$I27 &lt;=1, 5/6, AP$24-$I27 &lt;=5, (7-(AP$24-$I27))/6, AND(AP$24-$I27 =6,NOT(_xlfn.IFNA(ISNUMBER(SEARCH("Rending",$L27)),FALSE))), (7-(AP$24-$I27))/6, AND(AP$24-$I27 &gt;=7,NOT(_xlfn.IFNA(ISNUMBER(SEARCH("Rending",$L27)),FALSE))), 0, AP$24-$I27 =7, (7-(AP$24-1-$I27))/6, AP$24-$I27 =8, (7-(AP$24-2-$I27))/6*2/3, AP$24-$I27 =9, (7-(AP$24-3-$I27))/6*1/3, TRUE, 0) *
IF(ISNUMBER(SEARCH("Ordinance",$L27)),7/6,1) *
IF(OR(ISNUMBER(SEARCH("Melee",$L27)),ISNUMBER(SEARCH("Bypass",$L27))),1.5,1)</f>
        <v>0</v>
      </c>
      <c r="AQ27" s="17" cm="1">
        <f t="array" ref="AQ27">$H27 *
IF(ISNUMBER(SEARCH("Rapid",$L27)),7/6,1) *
IF(OR(ISNUMBER(SEARCH("Beam",$L27)),ISNUMBER(SEARCH("Firestorm",$L27))),1, IF(ISNUMBER(SEARCH("Blast",$L27)),(4+$G27+(2-$G27)*0.5)/6*2,(4+$G27)/6)) *
_xlfn.IFS(AQ$24-$I27 &lt;=1, 5/6, AQ$24-$I27 &lt;=5, (7-(AQ$24-$I27))/6, AND(AQ$24-$I27 =6,NOT(_xlfn.IFNA(ISNUMBER(SEARCH("Rending",$L27)),FALSE))), (7-(AQ$24-$I27))/6, AND(AQ$24-$I27 &gt;=7,NOT(_xlfn.IFNA(ISNUMBER(SEARCH("Rending",$L27)),FALSE))), 0, AQ$24-$I27 =7, (7-(AQ$24-1-$I27))/6, AQ$24-$I27 =8, (7-(AQ$24-2-$I27))/6*2/3, AQ$24-$I27 =9, (7-(AQ$24-3-$I27))/6*1/3, TRUE, 0) *
IF(ISNUMBER(SEARCH("Ordinance",$L27)),7/6,1) *
IF(OR(ISNUMBER(SEARCH("Melee",$L27)),ISNUMBER(SEARCH("Bypass",$L27))),1.5,1)</f>
        <v>0</v>
      </c>
      <c r="AS27" s="16">
        <f t="shared" ref="AS27:AS38" si="5">IF($E27=1,AG27*3,IF($E27=2,2*AG27,1.1*AG27))/3</f>
        <v>1.5555555555555554</v>
      </c>
      <c r="AT27" s="16">
        <f t="shared" ref="AT27:AT38" si="6">IF($E27=1,AH27*3,IF($E27=2,2*AH27,1.1*AH27))/3</f>
        <v>2.333333333333333</v>
      </c>
      <c r="AU27" s="16">
        <f t="shared" si="0"/>
        <v>0.89444444444444438</v>
      </c>
      <c r="AV27" s="2">
        <v>9</v>
      </c>
    </row>
    <row r="28" spans="1:48" x14ac:dyDescent="0.3">
      <c r="A28" t="s">
        <v>300</v>
      </c>
      <c r="B28" s="3">
        <v>8</v>
      </c>
      <c r="C28" s="3">
        <v>20</v>
      </c>
      <c r="D28" s="3">
        <v>1</v>
      </c>
      <c r="E28" s="3">
        <v>1</v>
      </c>
      <c r="F28" s="10">
        <v>1</v>
      </c>
      <c r="G28" s="10">
        <v>-1</v>
      </c>
      <c r="H28" s="3">
        <v>6</v>
      </c>
      <c r="I28" s="3">
        <v>6</v>
      </c>
      <c r="J28" s="3" t="s">
        <v>198</v>
      </c>
      <c r="K28" s="3">
        <v>35</v>
      </c>
      <c r="L28" s="3" t="s">
        <v>301</v>
      </c>
      <c r="M28" s="3" t="s">
        <v>199</v>
      </c>
      <c r="N28" s="3">
        <v>9</v>
      </c>
      <c r="O28" s="3">
        <v>9</v>
      </c>
      <c r="P28" s="3">
        <v>13</v>
      </c>
      <c r="Q28" s="3" t="s">
        <v>200</v>
      </c>
      <c r="R28" s="3">
        <v>7</v>
      </c>
      <c r="S28" s="3">
        <v>9</v>
      </c>
      <c r="T28" s="3">
        <v>3</v>
      </c>
      <c r="U28" t="s">
        <v>302</v>
      </c>
      <c r="V28" s="16">
        <f t="shared" si="1"/>
        <v>1.9444444444444446</v>
      </c>
      <c r="W28" s="16">
        <f t="shared" si="2"/>
        <v>2.916666666666667</v>
      </c>
      <c r="X28" s="17" cm="1">
        <f t="array" ref="X28">$H28 *
IF(ISNUMBER(SEARCH("Rapid",$L28)),7/6,1) *
IF(OR(ISNUMBER(SEARCH("Beam",$L28)),ISNUMBER(SEARCH("Firestorm",$L28))),1, IF(ISNUMBER(SEARCH("Blast",$L28)),(4+$F28+(2-$F28)*0.5)/6*2,(4+$F28)/6)) *
IF(ISNUMBER(SEARCH("Fusion",$L28)), _xlfn.IFS(X$24-$I28 &lt;=1, 9/10, X$24-$I28 &lt;=10,(11-(X$24-$I28))/10, X$24-$I28 &gt;=11, 0),
_xlfn.IFS(X$24-$I28 &lt;=1, 5/6, X$24-$I28 &lt;=5, (7-(X$24-$I28))/6, AND(X$24-$I28 =6,NOT(_xlfn.IFNA(ISNUMBER(SEARCH("Rending",$L28)),FALSE))), (7-(X$24-$I28))/6, AND(X$24-$I28 &gt;=7,NOT(_xlfn.IFNA(ISNUMBER(SEARCH("Rending",$L28)),FALSE))), 0, X$24-$I28 =7, (7-(X$24-1-$I28))/6, X$24-$I28 =8, (7-(X$24-2-$I28))/6*2/3, X$24-$I28 =9, (7-(X$24-3-$I28))/6*1/3, TRUE, 0)) *
IF(ISNUMBER(SEARCH("Ordinance",$L28)),7/6,1) *
IF(OR(ISNUMBER(SEARCH("Melee",$L28)),ISNUMBER(SEARCH("Bypass",$L28))),1.5,1)</f>
        <v>3.8888888888888893</v>
      </c>
      <c r="Y28" s="17" cm="1">
        <f t="array" ref="Y28">$H28 *
IF(ISNUMBER(SEARCH("Rapid",$L28)),7/6,1) *
IF(OR(ISNUMBER(SEARCH("Beam",$L28)),ISNUMBER(SEARCH("Firestorm",$L28))),1, IF(ISNUMBER(SEARCH("Blast",$L28)),(4+$F28+(2-$F28)*0.5)/6*2,(4+$F28)/6)) *
IF(ISNUMBER(SEARCH("Fusion",$L28)), _xlfn.IFS(Y$24-$I28 &lt;=1, 9/10, Y$24-$I28 &lt;=10,(11-(Y$24-$I28))/10, Y$24-$I28 &gt;=11, 0),
_xlfn.IFS(Y$24-$I28 &lt;=1, 5/6, Y$24-$I28 &lt;=5, (7-(Y$24-$I28))/6, AND(Y$24-$I28 =6,NOT(_xlfn.IFNA(ISNUMBER(SEARCH("Rending",$L28)),FALSE))), (7-(Y$24-$I28))/6, AND(Y$24-$I28 &gt;=7,NOT(_xlfn.IFNA(ISNUMBER(SEARCH("Rending",$L28)),FALSE))), 0, Y$24-$I28 =7, (7-(Y$24-1-$I28))/6, Y$24-$I28 =8, (7-(Y$24-2-$I28))/6*2/3, Y$24-$I28 =9, (7-(Y$24-3-$I28))/6*1/3, TRUE, 0)) *
IF(ISNUMBER(SEARCH("Ordinance",$L28)),7/6,1) *
IF(OR(ISNUMBER(SEARCH("Melee",$L28)),ISNUMBER(SEARCH("Bypass",$L28))),1.5,1)</f>
        <v>2.916666666666667</v>
      </c>
      <c r="Z28" s="17" cm="1">
        <f t="array" ref="Z28">$H28 *
IF(ISNUMBER(SEARCH("Rapid",$L28)),7/6,1) *
IF(OR(ISNUMBER(SEARCH("Beam",$L28)),ISNUMBER(SEARCH("Firestorm",$L28))),1, IF(ISNUMBER(SEARCH("Blast",$L28)),(4+$F28+(2-$F28)*0.5)/6*2,(4+$F28)/6)) *
IF(ISNUMBER(SEARCH("Fusion",$L28)), _xlfn.IFS(Z$24-$I28 &lt;=1, 9/10, Z$24-$I28 &lt;=10,(11-(Z$24-$I28))/10, Z$24-$I28 &gt;=11, 0),
_xlfn.IFS(Z$24-$I28 &lt;=1, 5/6, Z$24-$I28 &lt;=5, (7-(Z$24-$I28))/6, AND(Z$24-$I28 =6,NOT(_xlfn.IFNA(ISNUMBER(SEARCH("Rending",$L28)),FALSE))), (7-(Z$24-$I28))/6, AND(Z$24-$I28 &gt;=7,NOT(_xlfn.IFNA(ISNUMBER(SEARCH("Rending",$L28)),FALSE))), 0, Z$24-$I28 =7, (7-(Z$24-1-$I28))/6, Z$24-$I28 =8, (7-(Z$24-2-$I28))/6*2/3, Z$24-$I28 =9, (7-(Z$24-3-$I28))/6*1/3, TRUE, 0)) *
IF(ISNUMBER(SEARCH("Ordinance",$L28)),7/6,1) *
IF(OR(ISNUMBER(SEARCH("Melee",$L28)),ISNUMBER(SEARCH("Bypass",$L28))),1.5,1)</f>
        <v>1.9444444444444446</v>
      </c>
      <c r="AA28" s="17" cm="1">
        <f t="array" ref="AA28">$H28 *
IF(ISNUMBER(SEARCH("Rapid",$L28)),7/6,1) *
IF(OR(ISNUMBER(SEARCH("Beam",$L28)),ISNUMBER(SEARCH("Firestorm",$L28))),1, IF(ISNUMBER(SEARCH("Blast",$L28)),(4+$F28+(2-$F28)*0.5)/6*2,(4+$F28)/6)) *
IF(ISNUMBER(SEARCH("Fusion",$L28)), _xlfn.IFS(AA$24-$I28 &lt;=1, 9/10, AA$24-$I28 &lt;=10,(11-(AA$24-$I28))/10, AA$24-$I28 &gt;=11, 0),
_xlfn.IFS(AA$24-$I28 &lt;=1, 5/6, AA$24-$I28 &lt;=5, (7-(AA$24-$I28))/6, AND(AA$24-$I28 =6,NOT(_xlfn.IFNA(ISNUMBER(SEARCH("Rending",$L28)),FALSE))), (7-(AA$24-$I28))/6, AND(AA$24-$I28 &gt;=7,NOT(_xlfn.IFNA(ISNUMBER(SEARCH("Rending",$L28)),FALSE))), 0, AA$24-$I28 =7, (7-(AA$24-1-$I28))/6, AA$24-$I28 =8, (7-(AA$24-2-$I28))/6*2/3, AA$24-$I28 =9, (7-(AA$24-3-$I28))/6*1/3, TRUE, 0)) *
IF(ISNUMBER(SEARCH("Ordinance",$L28)),7/6,1) *
IF(OR(ISNUMBER(SEARCH("Melee",$L28)),ISNUMBER(SEARCH("Bypass",$L28))),1.5,1)</f>
        <v>0.97222222222222232</v>
      </c>
      <c r="AB28" s="17" cm="1">
        <f t="array" ref="AB28">$H28 *
IF(ISNUMBER(SEARCH("Rapid",$L28)),7/6,1) *
IF(OR(ISNUMBER(SEARCH("Beam",$L28)),ISNUMBER(SEARCH("Firestorm",$L28))),1, IF(ISNUMBER(SEARCH("Blast",$L28)),(4+$F28+(2-$F28)*0.5)/6*2,(4+$F28)/6)) *
IF(ISNUMBER(SEARCH("Fusion",$L28)), _xlfn.IFS(AB$24-$I28 &lt;=1, 9/10, AB$24-$I28 &lt;=10,(11-(AB$24-$I28))/10, AB$24-$I28 &gt;=11, 0),
_xlfn.IFS(AB$24-$I28 &lt;=1, 5/6, AB$24-$I28 &lt;=5, (7-(AB$24-$I28))/6, AND(AB$24-$I28 =6,NOT(_xlfn.IFNA(ISNUMBER(SEARCH("Rending",$L28)),FALSE))), (7-(AB$24-$I28))/6, AND(AB$24-$I28 &gt;=7,NOT(_xlfn.IFNA(ISNUMBER(SEARCH("Rending",$L28)),FALSE))), 0, AB$24-$I28 =7, (7-(AB$24-1-$I28))/6, AB$24-$I28 =8, (7-(AB$24-2-$I28))/6*2/3, AB$24-$I28 =9, (7-(AB$24-3-$I28))/6*1/3, TRUE, 0)) *
IF(ISNUMBER(SEARCH("Ordinance",$L28)),7/6,1) *
IF(OR(ISNUMBER(SEARCH("Melee",$L28)),ISNUMBER(SEARCH("Bypass",$L28))),1.5,1)</f>
        <v>0</v>
      </c>
      <c r="AC28" s="17" cm="1">
        <f t="array" ref="AC28">$H28 *
IF(ISNUMBER(SEARCH("Rapid",$L28)),7/6,1) *
IF(OR(ISNUMBER(SEARCH("Beam",$L28)),ISNUMBER(SEARCH("Firestorm",$L28))),1, IF(ISNUMBER(SEARCH("Blast",$L28)),(4+$F28+(2-$F28)*0.5)/6*2,(4+$F28)/6)) *
IF(ISNUMBER(SEARCH("Fusion",$L28)), _xlfn.IFS(AC$24-$I28 &lt;=1, 9/10, AC$24-$I28 &lt;=10,(11-(AC$24-$I28))/10, AC$24-$I28 &gt;=11, 0),
_xlfn.IFS(AC$24-$I28 &lt;=1, 5/6, AC$24-$I28 &lt;=5, (7-(AC$24-$I28))/6, AND(AC$24-$I28 =6,NOT(_xlfn.IFNA(ISNUMBER(SEARCH("Rending",$L28)),FALSE))), (7-(AC$24-$I28))/6, AND(AC$24-$I28 &gt;=7,NOT(_xlfn.IFNA(ISNUMBER(SEARCH("Rending",$L28)),FALSE))), 0, AC$24-$I28 =7, (7-(AC$24-1-$I28))/6, AC$24-$I28 =8, (7-(AC$24-2-$I28))/6*2/3, AC$24-$I28 =9, (7-(AC$24-3-$I28))/6*1/3, TRUE, 0)) *
IF(ISNUMBER(SEARCH("Ordinance",$L28)),7/6,1) *
IF(OR(ISNUMBER(SEARCH("Melee",$L28)),ISNUMBER(SEARCH("Bypass",$L28))),1.5,1)</f>
        <v>0</v>
      </c>
      <c r="AD28" s="17" cm="1">
        <f t="array" ref="AD28">$H28 *
IF(ISNUMBER(SEARCH("Rapid",$L28)),7/6,1) *
IF(OR(ISNUMBER(SEARCH("Beam",$L28)),ISNUMBER(SEARCH("Firestorm",$L28))),1, IF(ISNUMBER(SEARCH("Blast",$L28)),(4+$F28+(2-$F28)*0.5)/6*2,(4+$F28)/6)) *
IF(ISNUMBER(SEARCH("Fusion",$L28)), _xlfn.IFS(AD$24-$I28 &lt;=1, 9/10, AD$24-$I28 &lt;=10,(11-(AD$24-$I28))/10, AD$24-$I28 &gt;=11, 0),
_xlfn.IFS(AD$24-$I28 &lt;=1, 5/6, AD$24-$I28 &lt;=5, (7-(AD$24-$I28))/6, AND(AD$24-$I28 =6,NOT(_xlfn.IFNA(ISNUMBER(SEARCH("Rending",$L28)),FALSE))), (7-(AD$24-$I28))/6, AND(AD$24-$I28 &gt;=7,NOT(_xlfn.IFNA(ISNUMBER(SEARCH("Rending",$L28)),FALSE))), 0, AD$24-$I28 =7, (7-(AD$24-1-$I28))/6, AD$24-$I28 =8, (7-(AD$24-2-$I28))/6*2/3, AD$24-$I28 =9, (7-(AD$24-3-$I28))/6*1/3, TRUE, 0)) *
IF(ISNUMBER(SEARCH("Ordinance",$L28)),7/6,1) *
IF(OR(ISNUMBER(SEARCH("Melee",$L28)),ISNUMBER(SEARCH("Bypass",$L28))),1.5,1)</f>
        <v>0</v>
      </c>
      <c r="AE28" s="17" cm="1">
        <f t="array" ref="AE28">$H28 *
IF(ISNUMBER(SEARCH("Rapid",$L28)),7/6,1) *
IF(OR(ISNUMBER(SEARCH("Beam",$L28)),ISNUMBER(SEARCH("Firestorm",$L28))),1, IF(ISNUMBER(SEARCH("Blast",$L28)),(4+$F28+(2-$F28)*0.5)/6*2,(4+$F28)/6)) *
IF(ISNUMBER(SEARCH("Fusion",$L28)), _xlfn.IFS(AE$24-$I28 &lt;=1, 9/10, AE$24-$I28 &lt;=10,(11-(AE$24-$I28))/10, AE$24-$I28 &gt;=11, 0),
_xlfn.IFS(AE$24-$I28 &lt;=1, 5/6, AE$24-$I28 &lt;=5, (7-(AE$24-$I28))/6, AND(AE$24-$I28 =6,NOT(_xlfn.IFNA(ISNUMBER(SEARCH("Rending",$L28)),FALSE))), (7-(AE$24-$I28))/6, AND(AE$24-$I28 &gt;=7,NOT(_xlfn.IFNA(ISNUMBER(SEARCH("Rending",$L28)),FALSE))), 0, AE$24-$I28 =7, (7-(AE$24-1-$I28))/6, AE$24-$I28 =8, (7-(AE$24-2-$I28))/6*2/3, AE$24-$I28 =9, (7-(AE$24-3-$I28))/6*1/3, TRUE, 0)) *
IF(ISNUMBER(SEARCH("Ordinance",$L28)),7/6,1) *
IF(OR(ISNUMBER(SEARCH("Melee",$L28)),ISNUMBER(SEARCH("Bypass",$L28))),1.5,1)</f>
        <v>0</v>
      </c>
      <c r="AF28" s="17" cm="1">
        <f t="array" ref="AF28">$H28 *
IF(ISNUMBER(SEARCH("Rapid",$L28)),7/6,1) *
IF(OR(ISNUMBER(SEARCH("Beam",$L28)),ISNUMBER(SEARCH("Firestorm",$L28))),1, IF(ISNUMBER(SEARCH("Blast",$L28)),(4+$F28+(2-$F28)*0.5)/6*2,(4+$F28)/6)) *
IF(ISNUMBER(SEARCH("Fusion",$L28)), _xlfn.IFS(AF$24-$I28 &lt;=1, 9/10, AF$24-$I28 &lt;=10,(11-(AF$24-$I28))/10, AF$24-$I28 &gt;=11, 0),
_xlfn.IFS(AF$24-$I28 &lt;=1, 5/6, AF$24-$I28 &lt;=5, (7-(AF$24-$I28))/6, AND(AF$24-$I28 =6,NOT(_xlfn.IFNA(ISNUMBER(SEARCH("Rending",$L28)),FALSE))), (7-(AF$24-$I28))/6, AND(AF$24-$I28 &gt;=7,NOT(_xlfn.IFNA(ISNUMBER(SEARCH("Rending",$L28)),FALSE))), 0, AF$24-$I28 =7, (7-(AF$24-1-$I28))/6, AF$24-$I28 =8, (7-(AF$24-2-$I28))/6*2/3, AF$24-$I28 =9, (7-(AF$24-3-$I28))/6*1/3, TRUE, 0)) *
IF(ISNUMBER(SEARCH("Ordinance",$L28)),7/6,1) *
IF(OR(ISNUMBER(SEARCH("Melee",$L28)),ISNUMBER(SEARCH("Bypass",$L28))),1.5,1)</f>
        <v>0</v>
      </c>
      <c r="AG28" s="16">
        <f t="shared" si="3"/>
        <v>1.1666666666666665</v>
      </c>
      <c r="AH28" s="16">
        <f t="shared" si="4"/>
        <v>1.75</v>
      </c>
      <c r="AI28" s="17" cm="1">
        <f t="array" ref="AI28">$H28 *
IF(ISNUMBER(SEARCH("Rapid",$L28)),7/6,1) *
IF(OR(ISNUMBER(SEARCH("Beam",$L28)),ISNUMBER(SEARCH("Firestorm",$L28))),1, IF(ISNUMBER(SEARCH("Blast",$L28)),(4+$G28+(2-$G28)*0.5)/6*2,(4+$G28)/6)) *
_xlfn.IFS(AI$24-$I28 &lt;=1, 5/6, AI$24-$I28 &lt;=5, (7-(AI$24-$I28))/6, AND(AI$24-$I28 =6,NOT(_xlfn.IFNA(ISNUMBER(SEARCH("Rending",$L28)),FALSE))), (7-(AI$24-$I28))/6, AND(AI$24-$I28 &gt;=7,NOT(_xlfn.IFNA(ISNUMBER(SEARCH("Rending",$L28)),FALSE))), 0, AI$24-$I28 =7, (7-(AI$24-1-$I28))/6, AI$24-$I28 =8, (7-(AI$24-2-$I28))/6*2/3, AI$24-$I28 =9, (7-(AI$24-3-$I28))/6*1/3, TRUE, 0) *
IF(ISNUMBER(SEARCH("Ordinance",$L28)),7/6,1) *
IF(OR(ISNUMBER(SEARCH("Melee",$L28)),ISNUMBER(SEARCH("Bypass",$L28))),1.5,1)</f>
        <v>2.333333333333333</v>
      </c>
      <c r="AJ28" s="17" cm="1">
        <f t="array" ref="AJ28">$H28 *
IF(ISNUMBER(SEARCH("Rapid",$L28)),7/6,1) *
IF(OR(ISNUMBER(SEARCH("Beam",$L28)),ISNUMBER(SEARCH("Firestorm",$L28))),1, IF(ISNUMBER(SEARCH("Blast",$L28)),(4+$G28+(2-$G28)*0.5)/6*2,(4+$G28)/6)) *
_xlfn.IFS(AJ$24-$I28 &lt;=1, 5/6, AJ$24-$I28 &lt;=5, (7-(AJ$24-$I28))/6, AND(AJ$24-$I28 =6,NOT(_xlfn.IFNA(ISNUMBER(SEARCH("Rending",$L28)),FALSE))), (7-(AJ$24-$I28))/6, AND(AJ$24-$I28 &gt;=7,NOT(_xlfn.IFNA(ISNUMBER(SEARCH("Rending",$L28)),FALSE))), 0, AJ$24-$I28 =7, (7-(AJ$24-1-$I28))/6, AJ$24-$I28 =8, (7-(AJ$24-2-$I28))/6*2/3, AJ$24-$I28 =9, (7-(AJ$24-3-$I28))/6*1/3, TRUE, 0) *
IF(ISNUMBER(SEARCH("Ordinance",$L28)),7/6,1) *
IF(OR(ISNUMBER(SEARCH("Melee",$L28)),ISNUMBER(SEARCH("Bypass",$L28))),1.5,1)</f>
        <v>1.75</v>
      </c>
      <c r="AK28" s="17" cm="1">
        <f t="array" ref="AK28">$H28 *
IF(ISNUMBER(SEARCH("Rapid",$L28)),7/6,1) *
IF(OR(ISNUMBER(SEARCH("Beam",$L28)),ISNUMBER(SEARCH("Firestorm",$L28))),1, IF(ISNUMBER(SEARCH("Blast",$L28)),(4+$G28+(2-$G28)*0.5)/6*2,(4+$G28)/6)) *
_xlfn.IFS(AK$24-$I28 &lt;=1, 5/6, AK$24-$I28 &lt;=5, (7-(AK$24-$I28))/6, AND(AK$24-$I28 =6,NOT(_xlfn.IFNA(ISNUMBER(SEARCH("Rending",$L28)),FALSE))), (7-(AK$24-$I28))/6, AND(AK$24-$I28 &gt;=7,NOT(_xlfn.IFNA(ISNUMBER(SEARCH("Rending",$L28)),FALSE))), 0, AK$24-$I28 =7, (7-(AK$24-1-$I28))/6, AK$24-$I28 =8, (7-(AK$24-2-$I28))/6*2/3, AK$24-$I28 =9, (7-(AK$24-3-$I28))/6*1/3, TRUE, 0) *
IF(ISNUMBER(SEARCH("Ordinance",$L28)),7/6,1) *
IF(OR(ISNUMBER(SEARCH("Melee",$L28)),ISNUMBER(SEARCH("Bypass",$L28))),1.5,1)</f>
        <v>1.1666666666666665</v>
      </c>
      <c r="AL28" s="17" cm="1">
        <f t="array" ref="AL28">$H28 *
IF(ISNUMBER(SEARCH("Rapid",$L28)),7/6,1) *
IF(OR(ISNUMBER(SEARCH("Beam",$L28)),ISNUMBER(SEARCH("Firestorm",$L28))),1, IF(ISNUMBER(SEARCH("Blast",$L28)),(4+$G28+(2-$G28)*0.5)/6*2,(4+$G28)/6)) *
_xlfn.IFS(AL$24-$I28 &lt;=1, 5/6, AL$24-$I28 &lt;=5, (7-(AL$24-$I28))/6, AND(AL$24-$I28 =6,NOT(_xlfn.IFNA(ISNUMBER(SEARCH("Rending",$L28)),FALSE))), (7-(AL$24-$I28))/6, AND(AL$24-$I28 &gt;=7,NOT(_xlfn.IFNA(ISNUMBER(SEARCH("Rending",$L28)),FALSE))), 0, AL$24-$I28 =7, (7-(AL$24-1-$I28))/6, AL$24-$I28 =8, (7-(AL$24-2-$I28))/6*2/3, AL$24-$I28 =9, (7-(AL$24-3-$I28))/6*1/3, TRUE, 0) *
IF(ISNUMBER(SEARCH("Ordinance",$L28)),7/6,1) *
IF(OR(ISNUMBER(SEARCH("Melee",$L28)),ISNUMBER(SEARCH("Bypass",$L28))),1.5,1)</f>
        <v>0.58333333333333326</v>
      </c>
      <c r="AM28" s="17" cm="1">
        <f t="array" ref="AM28">$H28 *
IF(ISNUMBER(SEARCH("Rapid",$L28)),7/6,1) *
IF(OR(ISNUMBER(SEARCH("Beam",$L28)),ISNUMBER(SEARCH("Firestorm",$L28))),1, IF(ISNUMBER(SEARCH("Blast",$L28)),(4+$G28+(2-$G28)*0.5)/6*2,(4+$G28)/6)) *
_xlfn.IFS(AM$24-$I28 &lt;=1, 5/6, AM$24-$I28 &lt;=5, (7-(AM$24-$I28))/6, AND(AM$24-$I28 =6,NOT(_xlfn.IFNA(ISNUMBER(SEARCH("Rending",$L28)),FALSE))), (7-(AM$24-$I28))/6, AND(AM$24-$I28 &gt;=7,NOT(_xlfn.IFNA(ISNUMBER(SEARCH("Rending",$L28)),FALSE))), 0, AM$24-$I28 =7, (7-(AM$24-1-$I28))/6, AM$24-$I28 =8, (7-(AM$24-2-$I28))/6*2/3, AM$24-$I28 =9, (7-(AM$24-3-$I28))/6*1/3, TRUE, 0) *
IF(ISNUMBER(SEARCH("Ordinance",$L28)),7/6,1) *
IF(OR(ISNUMBER(SEARCH("Melee",$L28)),ISNUMBER(SEARCH("Bypass",$L28))),1.5,1)</f>
        <v>0</v>
      </c>
      <c r="AN28" s="17" cm="1">
        <f t="array" ref="AN28">$H28 *
IF(ISNUMBER(SEARCH("Rapid",$L28)),7/6,1) *
IF(OR(ISNUMBER(SEARCH("Beam",$L28)),ISNUMBER(SEARCH("Firestorm",$L28))),1, IF(ISNUMBER(SEARCH("Blast",$L28)),(4+$G28+(2-$G28)*0.5)/6*2,(4+$G28)/6)) *
_xlfn.IFS(AN$24-$I28 &lt;=1, 5/6, AN$24-$I28 &lt;=5, (7-(AN$24-$I28))/6, AND(AN$24-$I28 =6,NOT(_xlfn.IFNA(ISNUMBER(SEARCH("Rending",$L28)),FALSE))), (7-(AN$24-$I28))/6, AND(AN$24-$I28 &gt;=7,NOT(_xlfn.IFNA(ISNUMBER(SEARCH("Rending",$L28)),FALSE))), 0, AN$24-$I28 =7, (7-(AN$24-1-$I28))/6, AN$24-$I28 =8, (7-(AN$24-2-$I28))/6*2/3, AN$24-$I28 =9, (7-(AN$24-3-$I28))/6*1/3, TRUE, 0) *
IF(ISNUMBER(SEARCH("Ordinance",$L28)),7/6,1) *
IF(OR(ISNUMBER(SEARCH("Melee",$L28)),ISNUMBER(SEARCH("Bypass",$L28))),1.5,1)</f>
        <v>0</v>
      </c>
      <c r="AO28" s="17" cm="1">
        <f t="array" ref="AO28">$H28 *
IF(ISNUMBER(SEARCH("Rapid",$L28)),7/6,1) *
IF(OR(ISNUMBER(SEARCH("Beam",$L28)),ISNUMBER(SEARCH("Firestorm",$L28))),1, IF(ISNUMBER(SEARCH("Blast",$L28)),(4+$G28+(2-$G28)*0.5)/6*2,(4+$G28)/6)) *
_xlfn.IFS(AO$24-$I28 &lt;=1, 5/6, AO$24-$I28 &lt;=5, (7-(AO$24-$I28))/6, AND(AO$24-$I28 =6,NOT(_xlfn.IFNA(ISNUMBER(SEARCH("Rending",$L28)),FALSE))), (7-(AO$24-$I28))/6, AND(AO$24-$I28 &gt;=7,NOT(_xlfn.IFNA(ISNUMBER(SEARCH("Rending",$L28)),FALSE))), 0, AO$24-$I28 =7, (7-(AO$24-1-$I28))/6, AO$24-$I28 =8, (7-(AO$24-2-$I28))/6*2/3, AO$24-$I28 =9, (7-(AO$24-3-$I28))/6*1/3, TRUE, 0) *
IF(ISNUMBER(SEARCH("Ordinance",$L28)),7/6,1) *
IF(OR(ISNUMBER(SEARCH("Melee",$L28)),ISNUMBER(SEARCH("Bypass",$L28))),1.5,1)</f>
        <v>0</v>
      </c>
      <c r="AP28" s="17" cm="1">
        <f t="array" ref="AP28">$H28 *
IF(ISNUMBER(SEARCH("Rapid",$L28)),7/6,1) *
IF(OR(ISNUMBER(SEARCH("Beam",$L28)),ISNUMBER(SEARCH("Firestorm",$L28))),1, IF(ISNUMBER(SEARCH("Blast",$L28)),(4+$G28+(2-$G28)*0.5)/6*2,(4+$G28)/6)) *
_xlfn.IFS(AP$24-$I28 &lt;=1, 5/6, AP$24-$I28 &lt;=5, (7-(AP$24-$I28))/6, AND(AP$24-$I28 =6,NOT(_xlfn.IFNA(ISNUMBER(SEARCH("Rending",$L28)),FALSE))), (7-(AP$24-$I28))/6, AND(AP$24-$I28 &gt;=7,NOT(_xlfn.IFNA(ISNUMBER(SEARCH("Rending",$L28)),FALSE))), 0, AP$24-$I28 =7, (7-(AP$24-1-$I28))/6, AP$24-$I28 =8, (7-(AP$24-2-$I28))/6*2/3, AP$24-$I28 =9, (7-(AP$24-3-$I28))/6*1/3, TRUE, 0) *
IF(ISNUMBER(SEARCH("Ordinance",$L28)),7/6,1) *
IF(OR(ISNUMBER(SEARCH("Melee",$L28)),ISNUMBER(SEARCH("Bypass",$L28))),1.5,1)</f>
        <v>0</v>
      </c>
      <c r="AQ28" s="17" cm="1">
        <f t="array" ref="AQ28">$H28 *
IF(ISNUMBER(SEARCH("Rapid",$L28)),7/6,1) *
IF(OR(ISNUMBER(SEARCH("Beam",$L28)),ISNUMBER(SEARCH("Firestorm",$L28))),1, IF(ISNUMBER(SEARCH("Blast",$L28)),(4+$G28+(2-$G28)*0.5)/6*2,(4+$G28)/6)) *
_xlfn.IFS(AQ$24-$I28 &lt;=1, 5/6, AQ$24-$I28 &lt;=5, (7-(AQ$24-$I28))/6, AND(AQ$24-$I28 =6,NOT(_xlfn.IFNA(ISNUMBER(SEARCH("Rending",$L28)),FALSE))), (7-(AQ$24-$I28))/6, AND(AQ$24-$I28 &gt;=7,NOT(_xlfn.IFNA(ISNUMBER(SEARCH("Rending",$L28)),FALSE))), 0, AQ$24-$I28 =7, (7-(AQ$24-1-$I28))/6, AQ$24-$I28 =8, (7-(AQ$24-2-$I28))/6*2/3, AQ$24-$I28 =9, (7-(AQ$24-3-$I28))/6*1/3, TRUE, 0) *
IF(ISNUMBER(SEARCH("Ordinance",$L28)),7/6,1) *
IF(OR(ISNUMBER(SEARCH("Melee",$L28)),ISNUMBER(SEARCH("Bypass",$L28))),1.5,1)</f>
        <v>0</v>
      </c>
      <c r="AS28" s="16">
        <f t="shared" si="5"/>
        <v>1.1666666666666665</v>
      </c>
      <c r="AT28" s="16">
        <f t="shared" si="6"/>
        <v>1.75</v>
      </c>
      <c r="AU28" s="16">
        <f t="shared" si="0"/>
        <v>1.5685185185185186</v>
      </c>
      <c r="AV28" s="2">
        <v>9</v>
      </c>
    </row>
    <row r="29" spans="1:48" x14ac:dyDescent="0.3">
      <c r="A29" t="s">
        <v>175</v>
      </c>
      <c r="B29" s="3">
        <v>16</v>
      </c>
      <c r="C29" s="3">
        <v>32</v>
      </c>
      <c r="D29" s="3">
        <v>1</v>
      </c>
      <c r="E29" s="3">
        <v>2</v>
      </c>
      <c r="F29" s="10">
        <v>0</v>
      </c>
      <c r="G29" s="10">
        <v>0</v>
      </c>
      <c r="H29" s="3">
        <v>2</v>
      </c>
      <c r="I29" s="3">
        <v>8</v>
      </c>
      <c r="J29" s="3" t="s">
        <v>198</v>
      </c>
      <c r="K29" s="3">
        <v>20</v>
      </c>
      <c r="L29" s="3" t="s">
        <v>201</v>
      </c>
      <c r="M29" s="3" t="s">
        <v>199</v>
      </c>
      <c r="N29" s="3">
        <v>9</v>
      </c>
      <c r="O29" s="3">
        <v>9</v>
      </c>
      <c r="P29" s="3">
        <v>13</v>
      </c>
      <c r="Q29" s="3" t="s">
        <v>200</v>
      </c>
      <c r="R29" s="3">
        <v>7</v>
      </c>
      <c r="S29" s="3">
        <v>9</v>
      </c>
      <c r="T29" s="3">
        <v>4</v>
      </c>
      <c r="V29" s="16">
        <f t="shared" si="1"/>
        <v>0.66666666666666663</v>
      </c>
      <c r="W29" s="16">
        <f t="shared" si="2"/>
        <v>0.88888888888888884</v>
      </c>
      <c r="X29" s="17" cm="1">
        <f t="array" ref="X29">$H29 *
IF(ISNUMBER(SEARCH("Rapid",$L29)),7/6,1) *
IF(OR(ISNUMBER(SEARCH("Beam",$L29)),ISNUMBER(SEARCH("Firestorm",$L29))),1, IF(ISNUMBER(SEARCH("Blast",$L29)),(4+$F29+(2-$F29)*0.5)/6*2,(4+$F29)/6)) *
IF(ISNUMBER(SEARCH("Fusion",$L29)), _xlfn.IFS(X$24-$I29 &lt;=1, 9/10, X$24-$I29 &lt;=10,(11-(X$24-$I29))/10, X$24-$I29 &gt;=11, 0),
_xlfn.IFS(X$24-$I29 &lt;=1, 5/6, X$24-$I29 &lt;=5, (7-(X$24-$I29))/6, AND(X$24-$I29 =6,NOT(_xlfn.IFNA(ISNUMBER(SEARCH("Rending",$L29)),FALSE))), (7-(X$24-$I29))/6, AND(X$24-$I29 &gt;=7,NOT(_xlfn.IFNA(ISNUMBER(SEARCH("Rending",$L29)),FALSE))), 0, X$24-$I29 =7, (7-(X$24-1-$I29))/6, X$24-$I29 =8, (7-(X$24-2-$I29))/6*2/3, X$24-$I29 =9, (7-(X$24-3-$I29))/6*1/3, TRUE, 0)) *
IF(ISNUMBER(SEARCH("Ordinance",$L29)),7/6,1) *
IF(OR(ISNUMBER(SEARCH("Melee",$L29)),ISNUMBER(SEARCH("Bypass",$L29))),1.5,1)</f>
        <v>1.1111111111111112</v>
      </c>
      <c r="Y29" s="17" cm="1">
        <f t="array" ref="Y29">$H29 *
IF(ISNUMBER(SEARCH("Rapid",$L29)),7/6,1) *
IF(OR(ISNUMBER(SEARCH("Beam",$L29)),ISNUMBER(SEARCH("Firestorm",$L29))),1, IF(ISNUMBER(SEARCH("Blast",$L29)),(4+$F29+(2-$F29)*0.5)/6*2,(4+$F29)/6)) *
IF(ISNUMBER(SEARCH("Fusion",$L29)), _xlfn.IFS(Y$24-$I29 &lt;=1, 9/10, Y$24-$I29 &lt;=10,(11-(Y$24-$I29))/10, Y$24-$I29 &gt;=11, 0),
_xlfn.IFS(Y$24-$I29 &lt;=1, 5/6, Y$24-$I29 &lt;=5, (7-(Y$24-$I29))/6, AND(Y$24-$I29 =6,NOT(_xlfn.IFNA(ISNUMBER(SEARCH("Rending",$L29)),FALSE))), (7-(Y$24-$I29))/6, AND(Y$24-$I29 &gt;=7,NOT(_xlfn.IFNA(ISNUMBER(SEARCH("Rending",$L29)),FALSE))), 0, Y$24-$I29 =7, (7-(Y$24-1-$I29))/6, Y$24-$I29 =8, (7-(Y$24-2-$I29))/6*2/3, Y$24-$I29 =9, (7-(Y$24-3-$I29))/6*1/3, TRUE, 0)) *
IF(ISNUMBER(SEARCH("Ordinance",$L29)),7/6,1) *
IF(OR(ISNUMBER(SEARCH("Melee",$L29)),ISNUMBER(SEARCH("Bypass",$L29))),1.5,1)</f>
        <v>1.1111111111111112</v>
      </c>
      <c r="Z29" s="17" cm="1">
        <f t="array" ref="Z29">$H29 *
IF(ISNUMBER(SEARCH("Rapid",$L29)),7/6,1) *
IF(OR(ISNUMBER(SEARCH("Beam",$L29)),ISNUMBER(SEARCH("Firestorm",$L29))),1, IF(ISNUMBER(SEARCH("Blast",$L29)),(4+$F29+(2-$F29)*0.5)/6*2,(4+$F29)/6)) *
IF(ISNUMBER(SEARCH("Fusion",$L29)), _xlfn.IFS(Z$24-$I29 &lt;=1, 9/10, Z$24-$I29 &lt;=10,(11-(Z$24-$I29))/10, Z$24-$I29 &gt;=11, 0),
_xlfn.IFS(Z$24-$I29 &lt;=1, 5/6, Z$24-$I29 &lt;=5, (7-(Z$24-$I29))/6, AND(Z$24-$I29 =6,NOT(_xlfn.IFNA(ISNUMBER(SEARCH("Rending",$L29)),FALSE))), (7-(Z$24-$I29))/6, AND(Z$24-$I29 &gt;=7,NOT(_xlfn.IFNA(ISNUMBER(SEARCH("Rending",$L29)),FALSE))), 0, Z$24-$I29 =7, (7-(Z$24-1-$I29))/6, Z$24-$I29 =8, (7-(Z$24-2-$I29))/6*2/3, Z$24-$I29 =9, (7-(Z$24-3-$I29))/6*1/3, TRUE, 0)) *
IF(ISNUMBER(SEARCH("Ordinance",$L29)),7/6,1) *
IF(OR(ISNUMBER(SEARCH("Melee",$L29)),ISNUMBER(SEARCH("Bypass",$L29))),1.5,1)</f>
        <v>0.88888888888888884</v>
      </c>
      <c r="AA29" s="17" cm="1">
        <f t="array" ref="AA29">$H29 *
IF(ISNUMBER(SEARCH("Rapid",$L29)),7/6,1) *
IF(OR(ISNUMBER(SEARCH("Beam",$L29)),ISNUMBER(SEARCH("Firestorm",$L29))),1, IF(ISNUMBER(SEARCH("Blast",$L29)),(4+$F29+(2-$F29)*0.5)/6*2,(4+$F29)/6)) *
IF(ISNUMBER(SEARCH("Fusion",$L29)), _xlfn.IFS(AA$24-$I29 &lt;=1, 9/10, AA$24-$I29 &lt;=10,(11-(AA$24-$I29))/10, AA$24-$I29 &gt;=11, 0),
_xlfn.IFS(AA$24-$I29 &lt;=1, 5/6, AA$24-$I29 &lt;=5, (7-(AA$24-$I29))/6, AND(AA$24-$I29 =6,NOT(_xlfn.IFNA(ISNUMBER(SEARCH("Rending",$L29)),FALSE))), (7-(AA$24-$I29))/6, AND(AA$24-$I29 &gt;=7,NOT(_xlfn.IFNA(ISNUMBER(SEARCH("Rending",$L29)),FALSE))), 0, AA$24-$I29 =7, (7-(AA$24-1-$I29))/6, AA$24-$I29 =8, (7-(AA$24-2-$I29))/6*2/3, AA$24-$I29 =9, (7-(AA$24-3-$I29))/6*1/3, TRUE, 0)) *
IF(ISNUMBER(SEARCH("Ordinance",$L29)),7/6,1) *
IF(OR(ISNUMBER(SEARCH("Melee",$L29)),ISNUMBER(SEARCH("Bypass",$L29))),1.5,1)</f>
        <v>0.66666666666666663</v>
      </c>
      <c r="AB29" s="17" cm="1">
        <f t="array" ref="AB29">$H29 *
IF(ISNUMBER(SEARCH("Rapid",$L29)),7/6,1) *
IF(OR(ISNUMBER(SEARCH("Beam",$L29)),ISNUMBER(SEARCH("Firestorm",$L29))),1, IF(ISNUMBER(SEARCH("Blast",$L29)),(4+$F29+(2-$F29)*0.5)/6*2,(4+$F29)/6)) *
IF(ISNUMBER(SEARCH("Fusion",$L29)), _xlfn.IFS(AB$24-$I29 &lt;=1, 9/10, AB$24-$I29 &lt;=10,(11-(AB$24-$I29))/10, AB$24-$I29 &gt;=11, 0),
_xlfn.IFS(AB$24-$I29 &lt;=1, 5/6, AB$24-$I29 &lt;=5, (7-(AB$24-$I29))/6, AND(AB$24-$I29 =6,NOT(_xlfn.IFNA(ISNUMBER(SEARCH("Rending",$L29)),FALSE))), (7-(AB$24-$I29))/6, AND(AB$24-$I29 &gt;=7,NOT(_xlfn.IFNA(ISNUMBER(SEARCH("Rending",$L29)),FALSE))), 0, AB$24-$I29 =7, (7-(AB$24-1-$I29))/6, AB$24-$I29 =8, (7-(AB$24-2-$I29))/6*2/3, AB$24-$I29 =9, (7-(AB$24-3-$I29))/6*1/3, TRUE, 0)) *
IF(ISNUMBER(SEARCH("Ordinance",$L29)),7/6,1) *
IF(OR(ISNUMBER(SEARCH("Melee",$L29)),ISNUMBER(SEARCH("Bypass",$L29))),1.5,1)</f>
        <v>0.44444444444444442</v>
      </c>
      <c r="AC29" s="17" cm="1">
        <f t="array" ref="AC29">$H29 *
IF(ISNUMBER(SEARCH("Rapid",$L29)),7/6,1) *
IF(OR(ISNUMBER(SEARCH("Beam",$L29)),ISNUMBER(SEARCH("Firestorm",$L29))),1, IF(ISNUMBER(SEARCH("Blast",$L29)),(4+$F29+(2-$F29)*0.5)/6*2,(4+$F29)/6)) *
IF(ISNUMBER(SEARCH("Fusion",$L29)), _xlfn.IFS(AC$24-$I29 &lt;=1, 9/10, AC$24-$I29 &lt;=10,(11-(AC$24-$I29))/10, AC$24-$I29 &gt;=11, 0),
_xlfn.IFS(AC$24-$I29 &lt;=1, 5/6, AC$24-$I29 &lt;=5, (7-(AC$24-$I29))/6, AND(AC$24-$I29 =6,NOT(_xlfn.IFNA(ISNUMBER(SEARCH("Rending",$L29)),FALSE))), (7-(AC$24-$I29))/6, AND(AC$24-$I29 &gt;=7,NOT(_xlfn.IFNA(ISNUMBER(SEARCH("Rending",$L29)),FALSE))), 0, AC$24-$I29 =7, (7-(AC$24-1-$I29))/6, AC$24-$I29 =8, (7-(AC$24-2-$I29))/6*2/3, AC$24-$I29 =9, (7-(AC$24-3-$I29))/6*1/3, TRUE, 0)) *
IF(ISNUMBER(SEARCH("Ordinance",$L29)),7/6,1) *
IF(OR(ISNUMBER(SEARCH("Melee",$L29)),ISNUMBER(SEARCH("Bypass",$L29))),1.5,1)</f>
        <v>0.22222222222222221</v>
      </c>
      <c r="AD29" s="17" cm="1">
        <f t="array" ref="AD29">$H29 *
IF(ISNUMBER(SEARCH("Rapid",$L29)),7/6,1) *
IF(OR(ISNUMBER(SEARCH("Beam",$L29)),ISNUMBER(SEARCH("Firestorm",$L29))),1, IF(ISNUMBER(SEARCH("Blast",$L29)),(4+$F29+(2-$F29)*0.5)/6*2,(4+$F29)/6)) *
IF(ISNUMBER(SEARCH("Fusion",$L29)), _xlfn.IFS(AD$24-$I29 &lt;=1, 9/10, AD$24-$I29 &lt;=10,(11-(AD$24-$I29))/10, AD$24-$I29 &gt;=11, 0),
_xlfn.IFS(AD$24-$I29 &lt;=1, 5/6, AD$24-$I29 &lt;=5, (7-(AD$24-$I29))/6, AND(AD$24-$I29 =6,NOT(_xlfn.IFNA(ISNUMBER(SEARCH("Rending",$L29)),FALSE))), (7-(AD$24-$I29))/6, AND(AD$24-$I29 &gt;=7,NOT(_xlfn.IFNA(ISNUMBER(SEARCH("Rending",$L29)),FALSE))), 0, AD$24-$I29 =7, (7-(AD$24-1-$I29))/6, AD$24-$I29 =8, (7-(AD$24-2-$I29))/6*2/3, AD$24-$I29 =9, (7-(AD$24-3-$I29))/6*1/3, TRUE, 0)) *
IF(ISNUMBER(SEARCH("Ordinance",$L29)),7/6,1) *
IF(OR(ISNUMBER(SEARCH("Melee",$L29)),ISNUMBER(SEARCH("Bypass",$L29))),1.5,1)</f>
        <v>0</v>
      </c>
      <c r="AE29" s="17" cm="1">
        <f t="array" ref="AE29">$H29 *
IF(ISNUMBER(SEARCH("Rapid",$L29)),7/6,1) *
IF(OR(ISNUMBER(SEARCH("Beam",$L29)),ISNUMBER(SEARCH("Firestorm",$L29))),1, IF(ISNUMBER(SEARCH("Blast",$L29)),(4+$F29+(2-$F29)*0.5)/6*2,(4+$F29)/6)) *
IF(ISNUMBER(SEARCH("Fusion",$L29)), _xlfn.IFS(AE$24-$I29 &lt;=1, 9/10, AE$24-$I29 &lt;=10,(11-(AE$24-$I29))/10, AE$24-$I29 &gt;=11, 0),
_xlfn.IFS(AE$24-$I29 &lt;=1, 5/6, AE$24-$I29 &lt;=5, (7-(AE$24-$I29))/6, AND(AE$24-$I29 =6,NOT(_xlfn.IFNA(ISNUMBER(SEARCH("Rending",$L29)),FALSE))), (7-(AE$24-$I29))/6, AND(AE$24-$I29 &gt;=7,NOT(_xlfn.IFNA(ISNUMBER(SEARCH("Rending",$L29)),FALSE))), 0, AE$24-$I29 =7, (7-(AE$24-1-$I29))/6, AE$24-$I29 =8, (7-(AE$24-2-$I29))/6*2/3, AE$24-$I29 =9, (7-(AE$24-3-$I29))/6*1/3, TRUE, 0)) *
IF(ISNUMBER(SEARCH("Ordinance",$L29)),7/6,1) *
IF(OR(ISNUMBER(SEARCH("Melee",$L29)),ISNUMBER(SEARCH("Bypass",$L29))),1.5,1)</f>
        <v>0</v>
      </c>
      <c r="AF29" s="17" cm="1">
        <f t="array" ref="AF29">$H29 *
IF(ISNUMBER(SEARCH("Rapid",$L29)),7/6,1) *
IF(OR(ISNUMBER(SEARCH("Beam",$L29)),ISNUMBER(SEARCH("Firestorm",$L29))),1, IF(ISNUMBER(SEARCH("Blast",$L29)),(4+$F29+(2-$F29)*0.5)/6*2,(4+$F29)/6)) *
IF(ISNUMBER(SEARCH("Fusion",$L29)), _xlfn.IFS(AF$24-$I29 &lt;=1, 9/10, AF$24-$I29 &lt;=10,(11-(AF$24-$I29))/10, AF$24-$I29 &gt;=11, 0),
_xlfn.IFS(AF$24-$I29 &lt;=1, 5/6, AF$24-$I29 &lt;=5, (7-(AF$24-$I29))/6, AND(AF$24-$I29 =6,NOT(_xlfn.IFNA(ISNUMBER(SEARCH("Rending",$L29)),FALSE))), (7-(AF$24-$I29))/6, AND(AF$24-$I29 &gt;=7,NOT(_xlfn.IFNA(ISNUMBER(SEARCH("Rending",$L29)),FALSE))), 0, AF$24-$I29 =7, (7-(AF$24-1-$I29))/6, AF$24-$I29 =8, (7-(AF$24-2-$I29))/6*2/3, AF$24-$I29 =9, (7-(AF$24-3-$I29))/6*1/3, TRUE, 0)) *
IF(ISNUMBER(SEARCH("Ordinance",$L29)),7/6,1) *
IF(OR(ISNUMBER(SEARCH("Melee",$L29)),ISNUMBER(SEARCH("Bypass",$L29))),1.5,1)</f>
        <v>0</v>
      </c>
      <c r="AG29" s="16">
        <f t="shared" si="3"/>
        <v>0.66666666666666663</v>
      </c>
      <c r="AH29" s="16">
        <f t="shared" si="4"/>
        <v>0.88888888888888884</v>
      </c>
      <c r="AI29" s="17" cm="1">
        <f t="array" ref="AI29">$H29 *
IF(ISNUMBER(SEARCH("Rapid",$L29)),7/6,1) *
IF(OR(ISNUMBER(SEARCH("Beam",$L29)),ISNUMBER(SEARCH("Firestorm",$L29))),1, IF(ISNUMBER(SEARCH("Blast",$L29)),(4+$G29+(2-$G29)*0.5)/6*2,(4+$G29)/6)) *
_xlfn.IFS(AI$24-$I29 &lt;=1, 5/6, AI$24-$I29 &lt;=5, (7-(AI$24-$I29))/6, AND(AI$24-$I29 =6,NOT(_xlfn.IFNA(ISNUMBER(SEARCH("Rending",$L29)),FALSE))), (7-(AI$24-$I29))/6, AND(AI$24-$I29 &gt;=7,NOT(_xlfn.IFNA(ISNUMBER(SEARCH("Rending",$L29)),FALSE))), 0, AI$24-$I29 =7, (7-(AI$24-1-$I29))/6, AI$24-$I29 =8, (7-(AI$24-2-$I29))/6*2/3, AI$24-$I29 =9, (7-(AI$24-3-$I29))/6*1/3, TRUE, 0) *
IF(ISNUMBER(SEARCH("Ordinance",$L29)),7/6,1) *
IF(OR(ISNUMBER(SEARCH("Melee",$L29)),ISNUMBER(SEARCH("Bypass",$L29))),1.5,1)</f>
        <v>1.1111111111111112</v>
      </c>
      <c r="AJ29" s="17" cm="1">
        <f t="array" ref="AJ29">$H29 *
IF(ISNUMBER(SEARCH("Rapid",$L29)),7/6,1) *
IF(OR(ISNUMBER(SEARCH("Beam",$L29)),ISNUMBER(SEARCH("Firestorm",$L29))),1, IF(ISNUMBER(SEARCH("Blast",$L29)),(4+$G29+(2-$G29)*0.5)/6*2,(4+$G29)/6)) *
_xlfn.IFS(AJ$24-$I29 &lt;=1, 5/6, AJ$24-$I29 &lt;=5, (7-(AJ$24-$I29))/6, AND(AJ$24-$I29 =6,NOT(_xlfn.IFNA(ISNUMBER(SEARCH("Rending",$L29)),FALSE))), (7-(AJ$24-$I29))/6, AND(AJ$24-$I29 &gt;=7,NOT(_xlfn.IFNA(ISNUMBER(SEARCH("Rending",$L29)),FALSE))), 0, AJ$24-$I29 =7, (7-(AJ$24-1-$I29))/6, AJ$24-$I29 =8, (7-(AJ$24-2-$I29))/6*2/3, AJ$24-$I29 =9, (7-(AJ$24-3-$I29))/6*1/3, TRUE, 0) *
IF(ISNUMBER(SEARCH("Ordinance",$L29)),7/6,1) *
IF(OR(ISNUMBER(SEARCH("Melee",$L29)),ISNUMBER(SEARCH("Bypass",$L29))),1.5,1)</f>
        <v>1.1111111111111112</v>
      </c>
      <c r="AK29" s="17" cm="1">
        <f t="array" ref="AK29">$H29 *
IF(ISNUMBER(SEARCH("Rapid",$L29)),7/6,1) *
IF(OR(ISNUMBER(SEARCH("Beam",$L29)),ISNUMBER(SEARCH("Firestorm",$L29))),1, IF(ISNUMBER(SEARCH("Blast",$L29)),(4+$G29+(2-$G29)*0.5)/6*2,(4+$G29)/6)) *
_xlfn.IFS(AK$24-$I29 &lt;=1, 5/6, AK$24-$I29 &lt;=5, (7-(AK$24-$I29))/6, AND(AK$24-$I29 =6,NOT(_xlfn.IFNA(ISNUMBER(SEARCH("Rending",$L29)),FALSE))), (7-(AK$24-$I29))/6, AND(AK$24-$I29 &gt;=7,NOT(_xlfn.IFNA(ISNUMBER(SEARCH("Rending",$L29)),FALSE))), 0, AK$24-$I29 =7, (7-(AK$24-1-$I29))/6, AK$24-$I29 =8, (7-(AK$24-2-$I29))/6*2/3, AK$24-$I29 =9, (7-(AK$24-3-$I29))/6*1/3, TRUE, 0) *
IF(ISNUMBER(SEARCH("Ordinance",$L29)),7/6,1) *
IF(OR(ISNUMBER(SEARCH("Melee",$L29)),ISNUMBER(SEARCH("Bypass",$L29))),1.5,1)</f>
        <v>0.88888888888888884</v>
      </c>
      <c r="AL29" s="17" cm="1">
        <f t="array" ref="AL29">$H29 *
IF(ISNUMBER(SEARCH("Rapid",$L29)),7/6,1) *
IF(OR(ISNUMBER(SEARCH("Beam",$L29)),ISNUMBER(SEARCH("Firestorm",$L29))),1, IF(ISNUMBER(SEARCH("Blast",$L29)),(4+$G29+(2-$G29)*0.5)/6*2,(4+$G29)/6)) *
_xlfn.IFS(AL$24-$I29 &lt;=1, 5/6, AL$24-$I29 &lt;=5, (7-(AL$24-$I29))/6, AND(AL$24-$I29 =6,NOT(_xlfn.IFNA(ISNUMBER(SEARCH("Rending",$L29)),FALSE))), (7-(AL$24-$I29))/6, AND(AL$24-$I29 &gt;=7,NOT(_xlfn.IFNA(ISNUMBER(SEARCH("Rending",$L29)),FALSE))), 0, AL$24-$I29 =7, (7-(AL$24-1-$I29))/6, AL$24-$I29 =8, (7-(AL$24-2-$I29))/6*2/3, AL$24-$I29 =9, (7-(AL$24-3-$I29))/6*1/3, TRUE, 0) *
IF(ISNUMBER(SEARCH("Ordinance",$L29)),7/6,1) *
IF(OR(ISNUMBER(SEARCH("Melee",$L29)),ISNUMBER(SEARCH("Bypass",$L29))),1.5,1)</f>
        <v>0.66666666666666663</v>
      </c>
      <c r="AM29" s="17" cm="1">
        <f t="array" ref="AM29">$H29 *
IF(ISNUMBER(SEARCH("Rapid",$L29)),7/6,1) *
IF(OR(ISNUMBER(SEARCH("Beam",$L29)),ISNUMBER(SEARCH("Firestorm",$L29))),1, IF(ISNUMBER(SEARCH("Blast",$L29)),(4+$G29+(2-$G29)*0.5)/6*2,(4+$G29)/6)) *
_xlfn.IFS(AM$24-$I29 &lt;=1, 5/6, AM$24-$I29 &lt;=5, (7-(AM$24-$I29))/6, AND(AM$24-$I29 =6,NOT(_xlfn.IFNA(ISNUMBER(SEARCH("Rending",$L29)),FALSE))), (7-(AM$24-$I29))/6, AND(AM$24-$I29 &gt;=7,NOT(_xlfn.IFNA(ISNUMBER(SEARCH("Rending",$L29)),FALSE))), 0, AM$24-$I29 =7, (7-(AM$24-1-$I29))/6, AM$24-$I29 =8, (7-(AM$24-2-$I29))/6*2/3, AM$24-$I29 =9, (7-(AM$24-3-$I29))/6*1/3, TRUE, 0) *
IF(ISNUMBER(SEARCH("Ordinance",$L29)),7/6,1) *
IF(OR(ISNUMBER(SEARCH("Melee",$L29)),ISNUMBER(SEARCH("Bypass",$L29))),1.5,1)</f>
        <v>0.44444444444444442</v>
      </c>
      <c r="AN29" s="17" cm="1">
        <f t="array" ref="AN29">$H29 *
IF(ISNUMBER(SEARCH("Rapid",$L29)),7/6,1) *
IF(OR(ISNUMBER(SEARCH("Beam",$L29)),ISNUMBER(SEARCH("Firestorm",$L29))),1, IF(ISNUMBER(SEARCH("Blast",$L29)),(4+$G29+(2-$G29)*0.5)/6*2,(4+$G29)/6)) *
_xlfn.IFS(AN$24-$I29 &lt;=1, 5/6, AN$24-$I29 &lt;=5, (7-(AN$24-$I29))/6, AND(AN$24-$I29 =6,NOT(_xlfn.IFNA(ISNUMBER(SEARCH("Rending",$L29)),FALSE))), (7-(AN$24-$I29))/6, AND(AN$24-$I29 &gt;=7,NOT(_xlfn.IFNA(ISNUMBER(SEARCH("Rending",$L29)),FALSE))), 0, AN$24-$I29 =7, (7-(AN$24-1-$I29))/6, AN$24-$I29 =8, (7-(AN$24-2-$I29))/6*2/3, AN$24-$I29 =9, (7-(AN$24-3-$I29))/6*1/3, TRUE, 0) *
IF(ISNUMBER(SEARCH("Ordinance",$L29)),7/6,1) *
IF(OR(ISNUMBER(SEARCH("Melee",$L29)),ISNUMBER(SEARCH("Bypass",$L29))),1.5,1)</f>
        <v>0.22222222222222221</v>
      </c>
      <c r="AO29" s="17" cm="1">
        <f t="array" ref="AO29">$H29 *
IF(ISNUMBER(SEARCH("Rapid",$L29)),7/6,1) *
IF(OR(ISNUMBER(SEARCH("Beam",$L29)),ISNUMBER(SEARCH("Firestorm",$L29))),1, IF(ISNUMBER(SEARCH("Blast",$L29)),(4+$G29+(2-$G29)*0.5)/6*2,(4+$G29)/6)) *
_xlfn.IFS(AO$24-$I29 &lt;=1, 5/6, AO$24-$I29 &lt;=5, (7-(AO$24-$I29))/6, AND(AO$24-$I29 =6,NOT(_xlfn.IFNA(ISNUMBER(SEARCH("Rending",$L29)),FALSE))), (7-(AO$24-$I29))/6, AND(AO$24-$I29 &gt;=7,NOT(_xlfn.IFNA(ISNUMBER(SEARCH("Rending",$L29)),FALSE))), 0, AO$24-$I29 =7, (7-(AO$24-1-$I29))/6, AO$24-$I29 =8, (7-(AO$24-2-$I29))/6*2/3, AO$24-$I29 =9, (7-(AO$24-3-$I29))/6*1/3, TRUE, 0) *
IF(ISNUMBER(SEARCH("Ordinance",$L29)),7/6,1) *
IF(OR(ISNUMBER(SEARCH("Melee",$L29)),ISNUMBER(SEARCH("Bypass",$L29))),1.5,1)</f>
        <v>0</v>
      </c>
      <c r="AP29" s="17" cm="1">
        <f t="array" ref="AP29">$H29 *
IF(ISNUMBER(SEARCH("Rapid",$L29)),7/6,1) *
IF(OR(ISNUMBER(SEARCH("Beam",$L29)),ISNUMBER(SEARCH("Firestorm",$L29))),1, IF(ISNUMBER(SEARCH("Blast",$L29)),(4+$G29+(2-$G29)*0.5)/6*2,(4+$G29)/6)) *
_xlfn.IFS(AP$24-$I29 &lt;=1, 5/6, AP$24-$I29 &lt;=5, (7-(AP$24-$I29))/6, AND(AP$24-$I29 =6,NOT(_xlfn.IFNA(ISNUMBER(SEARCH("Rending",$L29)),FALSE))), (7-(AP$24-$I29))/6, AND(AP$24-$I29 &gt;=7,NOT(_xlfn.IFNA(ISNUMBER(SEARCH("Rending",$L29)),FALSE))), 0, AP$24-$I29 =7, (7-(AP$24-1-$I29))/6, AP$24-$I29 =8, (7-(AP$24-2-$I29))/6*2/3, AP$24-$I29 =9, (7-(AP$24-3-$I29))/6*1/3, TRUE, 0) *
IF(ISNUMBER(SEARCH("Ordinance",$L29)),7/6,1) *
IF(OR(ISNUMBER(SEARCH("Melee",$L29)),ISNUMBER(SEARCH("Bypass",$L29))),1.5,1)</f>
        <v>0</v>
      </c>
      <c r="AQ29" s="17" cm="1">
        <f t="array" ref="AQ29">$H29 *
IF(ISNUMBER(SEARCH("Rapid",$L29)),7/6,1) *
IF(OR(ISNUMBER(SEARCH("Beam",$L29)),ISNUMBER(SEARCH("Firestorm",$L29))),1, IF(ISNUMBER(SEARCH("Blast",$L29)),(4+$G29+(2-$G29)*0.5)/6*2,(4+$G29)/6)) *
_xlfn.IFS(AQ$24-$I29 &lt;=1, 5/6, AQ$24-$I29 &lt;=5, (7-(AQ$24-$I29))/6, AND(AQ$24-$I29 =6,NOT(_xlfn.IFNA(ISNUMBER(SEARCH("Rending",$L29)),FALSE))), (7-(AQ$24-$I29))/6, AND(AQ$24-$I29 &gt;=7,NOT(_xlfn.IFNA(ISNUMBER(SEARCH("Rending",$L29)),FALSE))), 0, AQ$24-$I29 =7, (7-(AQ$24-1-$I29))/6, AQ$24-$I29 =8, (7-(AQ$24-2-$I29))/6*2/3, AQ$24-$I29 =9, (7-(AQ$24-3-$I29))/6*1/3, TRUE, 0) *
IF(ISNUMBER(SEARCH("Ordinance",$L29)),7/6,1) *
IF(OR(ISNUMBER(SEARCH("Melee",$L29)),ISNUMBER(SEARCH("Bypass",$L29))),1.5,1)</f>
        <v>0</v>
      </c>
      <c r="AS29" s="16">
        <f t="shared" si="5"/>
        <v>0.44444444444444442</v>
      </c>
      <c r="AT29" s="16">
        <f t="shared" si="6"/>
        <v>0.59259259259259256</v>
      </c>
      <c r="AU29" s="16">
        <f t="shared" si="0"/>
        <v>0.92592592592592593</v>
      </c>
      <c r="AV29" s="2">
        <v>10</v>
      </c>
    </row>
    <row r="30" spans="1:48" x14ac:dyDescent="0.3">
      <c r="A30" t="s">
        <v>210</v>
      </c>
      <c r="B30" s="3">
        <v>19</v>
      </c>
      <c r="C30" s="3">
        <v>38</v>
      </c>
      <c r="D30" s="3">
        <v>1</v>
      </c>
      <c r="E30" s="3">
        <v>2</v>
      </c>
      <c r="F30" s="10"/>
      <c r="G30" s="10"/>
      <c r="H30" s="3">
        <v>2</v>
      </c>
      <c r="I30" s="3">
        <v>8</v>
      </c>
      <c r="J30" s="3" t="s">
        <v>198</v>
      </c>
      <c r="K30" s="3">
        <v>30</v>
      </c>
      <c r="L30" s="3" t="s">
        <v>201</v>
      </c>
      <c r="M30" s="3" t="s">
        <v>199</v>
      </c>
      <c r="N30" s="3">
        <v>9</v>
      </c>
      <c r="O30" s="3">
        <v>9</v>
      </c>
      <c r="P30" s="3">
        <v>13</v>
      </c>
      <c r="Q30" s="3" t="s">
        <v>200</v>
      </c>
      <c r="R30" s="3">
        <v>7</v>
      </c>
      <c r="S30" s="3">
        <v>9</v>
      </c>
      <c r="T30" s="3">
        <v>4</v>
      </c>
      <c r="U30" t="s">
        <v>269</v>
      </c>
      <c r="V30" s="16">
        <f t="shared" si="1"/>
        <v>0.66666666666666663</v>
      </c>
      <c r="W30" s="16">
        <f t="shared" si="2"/>
        <v>0.88888888888888884</v>
      </c>
      <c r="X30" s="17" cm="1">
        <f t="array" ref="X30">$H30 *
IF(ISNUMBER(SEARCH("Rapid",$L30)),7/6,1) *
IF(OR(ISNUMBER(SEARCH("Beam",$L30)),ISNUMBER(SEARCH("Firestorm",$L30))),1, IF(ISNUMBER(SEARCH("Blast",$L30)),(4+$F30+(2-$F30)*0.5)/6*2,(4+$F30)/6)) *
IF(ISNUMBER(SEARCH("Fusion",$L30)), _xlfn.IFS(X$24-$I30 &lt;=1, 9/10, X$24-$I30 &lt;=10,(11-(X$24-$I30))/10, X$24-$I30 &gt;=11, 0),
_xlfn.IFS(X$24-$I30 &lt;=1, 5/6, X$24-$I30 &lt;=5, (7-(X$24-$I30))/6, AND(X$24-$I30 =6,NOT(_xlfn.IFNA(ISNUMBER(SEARCH("Rending",$L30)),FALSE))), (7-(X$24-$I30))/6, AND(X$24-$I30 &gt;=7,NOT(_xlfn.IFNA(ISNUMBER(SEARCH("Rending",$L30)),FALSE))), 0, X$24-$I30 =7, (7-(X$24-1-$I30))/6, X$24-$I30 =8, (7-(X$24-2-$I30))/6*2/3, X$24-$I30 =9, (7-(X$24-3-$I30))/6*1/3, TRUE, 0)) *
IF(ISNUMBER(SEARCH("Ordinance",$L30)),7/6,1) *
IF(OR(ISNUMBER(SEARCH("Melee",$L30)),ISNUMBER(SEARCH("Bypass",$L30))),1.5,1)</f>
        <v>1.1111111111111112</v>
      </c>
      <c r="Y30" s="17" cm="1">
        <f t="array" ref="Y30">$H30 *
IF(ISNUMBER(SEARCH("Rapid",$L30)),7/6,1) *
IF(OR(ISNUMBER(SEARCH("Beam",$L30)),ISNUMBER(SEARCH("Firestorm",$L30))),1, IF(ISNUMBER(SEARCH("Blast",$L30)),(4+$F30+(2-$F30)*0.5)/6*2,(4+$F30)/6)) *
IF(ISNUMBER(SEARCH("Fusion",$L30)), _xlfn.IFS(Y$24-$I30 &lt;=1, 9/10, Y$24-$I30 &lt;=10,(11-(Y$24-$I30))/10, Y$24-$I30 &gt;=11, 0),
_xlfn.IFS(Y$24-$I30 &lt;=1, 5/6, Y$24-$I30 &lt;=5, (7-(Y$24-$I30))/6, AND(Y$24-$I30 =6,NOT(_xlfn.IFNA(ISNUMBER(SEARCH("Rending",$L30)),FALSE))), (7-(Y$24-$I30))/6, AND(Y$24-$I30 &gt;=7,NOT(_xlfn.IFNA(ISNUMBER(SEARCH("Rending",$L30)),FALSE))), 0, Y$24-$I30 =7, (7-(Y$24-1-$I30))/6, Y$24-$I30 =8, (7-(Y$24-2-$I30))/6*2/3, Y$24-$I30 =9, (7-(Y$24-3-$I30))/6*1/3, TRUE, 0)) *
IF(ISNUMBER(SEARCH("Ordinance",$L30)),7/6,1) *
IF(OR(ISNUMBER(SEARCH("Melee",$L30)),ISNUMBER(SEARCH("Bypass",$L30))),1.5,1)</f>
        <v>1.1111111111111112</v>
      </c>
      <c r="Z30" s="17" cm="1">
        <f t="array" ref="Z30">$H30 *
IF(ISNUMBER(SEARCH("Rapid",$L30)),7/6,1) *
IF(OR(ISNUMBER(SEARCH("Beam",$L30)),ISNUMBER(SEARCH("Firestorm",$L30))),1, IF(ISNUMBER(SEARCH("Blast",$L30)),(4+$F30+(2-$F30)*0.5)/6*2,(4+$F30)/6)) *
IF(ISNUMBER(SEARCH("Fusion",$L30)), _xlfn.IFS(Z$24-$I30 &lt;=1, 9/10, Z$24-$I30 &lt;=10,(11-(Z$24-$I30))/10, Z$24-$I30 &gt;=11, 0),
_xlfn.IFS(Z$24-$I30 &lt;=1, 5/6, Z$24-$I30 &lt;=5, (7-(Z$24-$I30))/6, AND(Z$24-$I30 =6,NOT(_xlfn.IFNA(ISNUMBER(SEARCH("Rending",$L30)),FALSE))), (7-(Z$24-$I30))/6, AND(Z$24-$I30 &gt;=7,NOT(_xlfn.IFNA(ISNUMBER(SEARCH("Rending",$L30)),FALSE))), 0, Z$24-$I30 =7, (7-(Z$24-1-$I30))/6, Z$24-$I30 =8, (7-(Z$24-2-$I30))/6*2/3, Z$24-$I30 =9, (7-(Z$24-3-$I30))/6*1/3, TRUE, 0)) *
IF(ISNUMBER(SEARCH("Ordinance",$L30)),7/6,1) *
IF(OR(ISNUMBER(SEARCH("Melee",$L30)),ISNUMBER(SEARCH("Bypass",$L30))),1.5,1)</f>
        <v>0.88888888888888884</v>
      </c>
      <c r="AA30" s="17" cm="1">
        <f t="array" ref="AA30">$H30 *
IF(ISNUMBER(SEARCH("Rapid",$L30)),7/6,1) *
IF(OR(ISNUMBER(SEARCH("Beam",$L30)),ISNUMBER(SEARCH("Firestorm",$L30))),1, IF(ISNUMBER(SEARCH("Blast",$L30)),(4+$F30+(2-$F30)*0.5)/6*2,(4+$F30)/6)) *
IF(ISNUMBER(SEARCH("Fusion",$L30)), _xlfn.IFS(AA$24-$I30 &lt;=1, 9/10, AA$24-$I30 &lt;=10,(11-(AA$24-$I30))/10, AA$24-$I30 &gt;=11, 0),
_xlfn.IFS(AA$24-$I30 &lt;=1, 5/6, AA$24-$I30 &lt;=5, (7-(AA$24-$I30))/6, AND(AA$24-$I30 =6,NOT(_xlfn.IFNA(ISNUMBER(SEARCH("Rending",$L30)),FALSE))), (7-(AA$24-$I30))/6, AND(AA$24-$I30 &gt;=7,NOT(_xlfn.IFNA(ISNUMBER(SEARCH("Rending",$L30)),FALSE))), 0, AA$24-$I30 =7, (7-(AA$24-1-$I30))/6, AA$24-$I30 =8, (7-(AA$24-2-$I30))/6*2/3, AA$24-$I30 =9, (7-(AA$24-3-$I30))/6*1/3, TRUE, 0)) *
IF(ISNUMBER(SEARCH("Ordinance",$L30)),7/6,1) *
IF(OR(ISNUMBER(SEARCH("Melee",$L30)),ISNUMBER(SEARCH("Bypass",$L30))),1.5,1)</f>
        <v>0.66666666666666663</v>
      </c>
      <c r="AB30" s="17" cm="1">
        <f t="array" ref="AB30">$H30 *
IF(ISNUMBER(SEARCH("Rapid",$L30)),7/6,1) *
IF(OR(ISNUMBER(SEARCH("Beam",$L30)),ISNUMBER(SEARCH("Firestorm",$L30))),1, IF(ISNUMBER(SEARCH("Blast",$L30)),(4+$F30+(2-$F30)*0.5)/6*2,(4+$F30)/6)) *
IF(ISNUMBER(SEARCH("Fusion",$L30)), _xlfn.IFS(AB$24-$I30 &lt;=1, 9/10, AB$24-$I30 &lt;=10,(11-(AB$24-$I30))/10, AB$24-$I30 &gt;=11, 0),
_xlfn.IFS(AB$24-$I30 &lt;=1, 5/6, AB$24-$I30 &lt;=5, (7-(AB$24-$I30))/6, AND(AB$24-$I30 =6,NOT(_xlfn.IFNA(ISNUMBER(SEARCH("Rending",$L30)),FALSE))), (7-(AB$24-$I30))/6, AND(AB$24-$I30 &gt;=7,NOT(_xlfn.IFNA(ISNUMBER(SEARCH("Rending",$L30)),FALSE))), 0, AB$24-$I30 =7, (7-(AB$24-1-$I30))/6, AB$24-$I30 =8, (7-(AB$24-2-$I30))/6*2/3, AB$24-$I30 =9, (7-(AB$24-3-$I30))/6*1/3, TRUE, 0)) *
IF(ISNUMBER(SEARCH("Ordinance",$L30)),7/6,1) *
IF(OR(ISNUMBER(SEARCH("Melee",$L30)),ISNUMBER(SEARCH("Bypass",$L30))),1.5,1)</f>
        <v>0.44444444444444442</v>
      </c>
      <c r="AC30" s="17" cm="1">
        <f t="array" ref="AC30">$H30 *
IF(ISNUMBER(SEARCH("Rapid",$L30)),7/6,1) *
IF(OR(ISNUMBER(SEARCH("Beam",$L30)),ISNUMBER(SEARCH("Firestorm",$L30))),1, IF(ISNUMBER(SEARCH("Blast",$L30)),(4+$F30+(2-$F30)*0.5)/6*2,(4+$F30)/6)) *
IF(ISNUMBER(SEARCH("Fusion",$L30)), _xlfn.IFS(AC$24-$I30 &lt;=1, 9/10, AC$24-$I30 &lt;=10,(11-(AC$24-$I30))/10, AC$24-$I30 &gt;=11, 0),
_xlfn.IFS(AC$24-$I30 &lt;=1, 5/6, AC$24-$I30 &lt;=5, (7-(AC$24-$I30))/6, AND(AC$24-$I30 =6,NOT(_xlfn.IFNA(ISNUMBER(SEARCH("Rending",$L30)),FALSE))), (7-(AC$24-$I30))/6, AND(AC$24-$I30 &gt;=7,NOT(_xlfn.IFNA(ISNUMBER(SEARCH("Rending",$L30)),FALSE))), 0, AC$24-$I30 =7, (7-(AC$24-1-$I30))/6, AC$24-$I30 =8, (7-(AC$24-2-$I30))/6*2/3, AC$24-$I30 =9, (7-(AC$24-3-$I30))/6*1/3, TRUE, 0)) *
IF(ISNUMBER(SEARCH("Ordinance",$L30)),7/6,1) *
IF(OR(ISNUMBER(SEARCH("Melee",$L30)),ISNUMBER(SEARCH("Bypass",$L30))),1.5,1)</f>
        <v>0.22222222222222221</v>
      </c>
      <c r="AD30" s="17" cm="1">
        <f t="array" ref="AD30">$H30 *
IF(ISNUMBER(SEARCH("Rapid",$L30)),7/6,1) *
IF(OR(ISNUMBER(SEARCH("Beam",$L30)),ISNUMBER(SEARCH("Firestorm",$L30))),1, IF(ISNUMBER(SEARCH("Blast",$L30)),(4+$F30+(2-$F30)*0.5)/6*2,(4+$F30)/6)) *
IF(ISNUMBER(SEARCH("Fusion",$L30)), _xlfn.IFS(AD$24-$I30 &lt;=1, 9/10, AD$24-$I30 &lt;=10,(11-(AD$24-$I30))/10, AD$24-$I30 &gt;=11, 0),
_xlfn.IFS(AD$24-$I30 &lt;=1, 5/6, AD$24-$I30 &lt;=5, (7-(AD$24-$I30))/6, AND(AD$24-$I30 =6,NOT(_xlfn.IFNA(ISNUMBER(SEARCH("Rending",$L30)),FALSE))), (7-(AD$24-$I30))/6, AND(AD$24-$I30 &gt;=7,NOT(_xlfn.IFNA(ISNUMBER(SEARCH("Rending",$L30)),FALSE))), 0, AD$24-$I30 =7, (7-(AD$24-1-$I30))/6, AD$24-$I30 =8, (7-(AD$24-2-$I30))/6*2/3, AD$24-$I30 =9, (7-(AD$24-3-$I30))/6*1/3, TRUE, 0)) *
IF(ISNUMBER(SEARCH("Ordinance",$L30)),7/6,1) *
IF(OR(ISNUMBER(SEARCH("Melee",$L30)),ISNUMBER(SEARCH("Bypass",$L30))),1.5,1)</f>
        <v>0</v>
      </c>
      <c r="AE30" s="17" cm="1">
        <f t="array" ref="AE30">$H30 *
IF(ISNUMBER(SEARCH("Rapid",$L30)),7/6,1) *
IF(OR(ISNUMBER(SEARCH("Beam",$L30)),ISNUMBER(SEARCH("Firestorm",$L30))),1, IF(ISNUMBER(SEARCH("Blast",$L30)),(4+$F30+(2-$F30)*0.5)/6*2,(4+$F30)/6)) *
IF(ISNUMBER(SEARCH("Fusion",$L30)), _xlfn.IFS(AE$24-$I30 &lt;=1, 9/10, AE$24-$I30 &lt;=10,(11-(AE$24-$I30))/10, AE$24-$I30 &gt;=11, 0),
_xlfn.IFS(AE$24-$I30 &lt;=1, 5/6, AE$24-$I30 &lt;=5, (7-(AE$24-$I30))/6, AND(AE$24-$I30 =6,NOT(_xlfn.IFNA(ISNUMBER(SEARCH("Rending",$L30)),FALSE))), (7-(AE$24-$I30))/6, AND(AE$24-$I30 &gt;=7,NOT(_xlfn.IFNA(ISNUMBER(SEARCH("Rending",$L30)),FALSE))), 0, AE$24-$I30 =7, (7-(AE$24-1-$I30))/6, AE$24-$I30 =8, (7-(AE$24-2-$I30))/6*2/3, AE$24-$I30 =9, (7-(AE$24-3-$I30))/6*1/3, TRUE, 0)) *
IF(ISNUMBER(SEARCH("Ordinance",$L30)),7/6,1) *
IF(OR(ISNUMBER(SEARCH("Melee",$L30)),ISNUMBER(SEARCH("Bypass",$L30))),1.5,1)</f>
        <v>0</v>
      </c>
      <c r="AF30" s="17" cm="1">
        <f t="array" ref="AF30">$H30 *
IF(ISNUMBER(SEARCH("Rapid",$L30)),7/6,1) *
IF(OR(ISNUMBER(SEARCH("Beam",$L30)),ISNUMBER(SEARCH("Firestorm",$L30))),1, IF(ISNUMBER(SEARCH("Blast",$L30)),(4+$F30+(2-$F30)*0.5)/6*2,(4+$F30)/6)) *
IF(ISNUMBER(SEARCH("Fusion",$L30)), _xlfn.IFS(AF$24-$I30 &lt;=1, 9/10, AF$24-$I30 &lt;=10,(11-(AF$24-$I30))/10, AF$24-$I30 &gt;=11, 0),
_xlfn.IFS(AF$24-$I30 &lt;=1, 5/6, AF$24-$I30 &lt;=5, (7-(AF$24-$I30))/6, AND(AF$24-$I30 =6,NOT(_xlfn.IFNA(ISNUMBER(SEARCH("Rending",$L30)),FALSE))), (7-(AF$24-$I30))/6, AND(AF$24-$I30 &gt;=7,NOT(_xlfn.IFNA(ISNUMBER(SEARCH("Rending",$L30)),FALSE))), 0, AF$24-$I30 =7, (7-(AF$24-1-$I30))/6, AF$24-$I30 =8, (7-(AF$24-2-$I30))/6*2/3, AF$24-$I30 =9, (7-(AF$24-3-$I30))/6*1/3, TRUE, 0)) *
IF(ISNUMBER(SEARCH("Ordinance",$L30)),7/6,1) *
IF(OR(ISNUMBER(SEARCH("Melee",$L30)),ISNUMBER(SEARCH("Bypass",$L30))),1.5,1)</f>
        <v>0</v>
      </c>
      <c r="AG30" s="16">
        <f t="shared" si="3"/>
        <v>0.66666666666666663</v>
      </c>
      <c r="AH30" s="16">
        <f t="shared" si="4"/>
        <v>0.88888888888888884</v>
      </c>
      <c r="AI30" s="17" cm="1">
        <f t="array" ref="AI30">$H30 *
IF(ISNUMBER(SEARCH("Rapid",$L30)),7/6,1) *
IF(OR(ISNUMBER(SEARCH("Beam",$L30)),ISNUMBER(SEARCH("Firestorm",$L30))),1, IF(ISNUMBER(SEARCH("Blast",$L30)),(4+$G30+(2-$G30)*0.5)/6*2,(4+$G30)/6)) *
_xlfn.IFS(AI$24-$I30 &lt;=1, 5/6, AI$24-$I30 &lt;=5, (7-(AI$24-$I30))/6, AND(AI$24-$I30 =6,NOT(_xlfn.IFNA(ISNUMBER(SEARCH("Rending",$L30)),FALSE))), (7-(AI$24-$I30))/6, AND(AI$24-$I30 &gt;=7,NOT(_xlfn.IFNA(ISNUMBER(SEARCH("Rending",$L30)),FALSE))), 0, AI$24-$I30 =7, (7-(AI$24-1-$I30))/6, AI$24-$I30 =8, (7-(AI$24-2-$I30))/6*2/3, AI$24-$I30 =9, (7-(AI$24-3-$I30))/6*1/3, TRUE, 0) *
IF(ISNUMBER(SEARCH("Ordinance",$L30)),7/6,1) *
IF(OR(ISNUMBER(SEARCH("Melee",$L30)),ISNUMBER(SEARCH("Bypass",$L30))),1.5,1)</f>
        <v>1.1111111111111112</v>
      </c>
      <c r="AJ30" s="17" cm="1">
        <f t="array" ref="AJ30">$H30 *
IF(ISNUMBER(SEARCH("Rapid",$L30)),7/6,1) *
IF(OR(ISNUMBER(SEARCH("Beam",$L30)),ISNUMBER(SEARCH("Firestorm",$L30))),1, IF(ISNUMBER(SEARCH("Blast",$L30)),(4+$G30+(2-$G30)*0.5)/6*2,(4+$G30)/6)) *
_xlfn.IFS(AJ$24-$I30 &lt;=1, 5/6, AJ$24-$I30 &lt;=5, (7-(AJ$24-$I30))/6, AND(AJ$24-$I30 =6,NOT(_xlfn.IFNA(ISNUMBER(SEARCH("Rending",$L30)),FALSE))), (7-(AJ$24-$I30))/6, AND(AJ$24-$I30 &gt;=7,NOT(_xlfn.IFNA(ISNUMBER(SEARCH("Rending",$L30)),FALSE))), 0, AJ$24-$I30 =7, (7-(AJ$24-1-$I30))/6, AJ$24-$I30 =8, (7-(AJ$24-2-$I30))/6*2/3, AJ$24-$I30 =9, (7-(AJ$24-3-$I30))/6*1/3, TRUE, 0) *
IF(ISNUMBER(SEARCH("Ordinance",$L30)),7/6,1) *
IF(OR(ISNUMBER(SEARCH("Melee",$L30)),ISNUMBER(SEARCH("Bypass",$L30))),1.5,1)</f>
        <v>1.1111111111111112</v>
      </c>
      <c r="AK30" s="17" cm="1">
        <f t="array" ref="AK30">$H30 *
IF(ISNUMBER(SEARCH("Rapid",$L30)),7/6,1) *
IF(OR(ISNUMBER(SEARCH("Beam",$L30)),ISNUMBER(SEARCH("Firestorm",$L30))),1, IF(ISNUMBER(SEARCH("Blast",$L30)),(4+$G30+(2-$G30)*0.5)/6*2,(4+$G30)/6)) *
_xlfn.IFS(AK$24-$I30 &lt;=1, 5/6, AK$24-$I30 &lt;=5, (7-(AK$24-$I30))/6, AND(AK$24-$I30 =6,NOT(_xlfn.IFNA(ISNUMBER(SEARCH("Rending",$L30)),FALSE))), (7-(AK$24-$I30))/6, AND(AK$24-$I30 &gt;=7,NOT(_xlfn.IFNA(ISNUMBER(SEARCH("Rending",$L30)),FALSE))), 0, AK$24-$I30 =7, (7-(AK$24-1-$I30))/6, AK$24-$I30 =8, (7-(AK$24-2-$I30))/6*2/3, AK$24-$I30 =9, (7-(AK$24-3-$I30))/6*1/3, TRUE, 0) *
IF(ISNUMBER(SEARCH("Ordinance",$L30)),7/6,1) *
IF(OR(ISNUMBER(SEARCH("Melee",$L30)),ISNUMBER(SEARCH("Bypass",$L30))),1.5,1)</f>
        <v>0.88888888888888884</v>
      </c>
      <c r="AL30" s="17" cm="1">
        <f t="array" ref="AL30">$H30 *
IF(ISNUMBER(SEARCH("Rapid",$L30)),7/6,1) *
IF(OR(ISNUMBER(SEARCH("Beam",$L30)),ISNUMBER(SEARCH("Firestorm",$L30))),1, IF(ISNUMBER(SEARCH("Blast",$L30)),(4+$G30+(2-$G30)*0.5)/6*2,(4+$G30)/6)) *
_xlfn.IFS(AL$24-$I30 &lt;=1, 5/6, AL$24-$I30 &lt;=5, (7-(AL$24-$I30))/6, AND(AL$24-$I30 =6,NOT(_xlfn.IFNA(ISNUMBER(SEARCH("Rending",$L30)),FALSE))), (7-(AL$24-$I30))/6, AND(AL$24-$I30 &gt;=7,NOT(_xlfn.IFNA(ISNUMBER(SEARCH("Rending",$L30)),FALSE))), 0, AL$24-$I30 =7, (7-(AL$24-1-$I30))/6, AL$24-$I30 =8, (7-(AL$24-2-$I30))/6*2/3, AL$24-$I30 =9, (7-(AL$24-3-$I30))/6*1/3, TRUE, 0) *
IF(ISNUMBER(SEARCH("Ordinance",$L30)),7/6,1) *
IF(OR(ISNUMBER(SEARCH("Melee",$L30)),ISNUMBER(SEARCH("Bypass",$L30))),1.5,1)</f>
        <v>0.66666666666666663</v>
      </c>
      <c r="AM30" s="17" cm="1">
        <f t="array" ref="AM30">$H30 *
IF(ISNUMBER(SEARCH("Rapid",$L30)),7/6,1) *
IF(OR(ISNUMBER(SEARCH("Beam",$L30)),ISNUMBER(SEARCH("Firestorm",$L30))),1, IF(ISNUMBER(SEARCH("Blast",$L30)),(4+$G30+(2-$G30)*0.5)/6*2,(4+$G30)/6)) *
_xlfn.IFS(AM$24-$I30 &lt;=1, 5/6, AM$24-$I30 &lt;=5, (7-(AM$24-$I30))/6, AND(AM$24-$I30 =6,NOT(_xlfn.IFNA(ISNUMBER(SEARCH("Rending",$L30)),FALSE))), (7-(AM$24-$I30))/6, AND(AM$24-$I30 &gt;=7,NOT(_xlfn.IFNA(ISNUMBER(SEARCH("Rending",$L30)),FALSE))), 0, AM$24-$I30 =7, (7-(AM$24-1-$I30))/6, AM$24-$I30 =8, (7-(AM$24-2-$I30))/6*2/3, AM$24-$I30 =9, (7-(AM$24-3-$I30))/6*1/3, TRUE, 0) *
IF(ISNUMBER(SEARCH("Ordinance",$L30)),7/6,1) *
IF(OR(ISNUMBER(SEARCH("Melee",$L30)),ISNUMBER(SEARCH("Bypass",$L30))),1.5,1)</f>
        <v>0.44444444444444442</v>
      </c>
      <c r="AN30" s="17" cm="1">
        <f t="array" ref="AN30">$H30 *
IF(ISNUMBER(SEARCH("Rapid",$L30)),7/6,1) *
IF(OR(ISNUMBER(SEARCH("Beam",$L30)),ISNUMBER(SEARCH("Firestorm",$L30))),1, IF(ISNUMBER(SEARCH("Blast",$L30)),(4+$G30+(2-$G30)*0.5)/6*2,(4+$G30)/6)) *
_xlfn.IFS(AN$24-$I30 &lt;=1, 5/6, AN$24-$I30 &lt;=5, (7-(AN$24-$I30))/6, AND(AN$24-$I30 =6,NOT(_xlfn.IFNA(ISNUMBER(SEARCH("Rending",$L30)),FALSE))), (7-(AN$24-$I30))/6, AND(AN$24-$I30 &gt;=7,NOT(_xlfn.IFNA(ISNUMBER(SEARCH("Rending",$L30)),FALSE))), 0, AN$24-$I30 =7, (7-(AN$24-1-$I30))/6, AN$24-$I30 =8, (7-(AN$24-2-$I30))/6*2/3, AN$24-$I30 =9, (7-(AN$24-3-$I30))/6*1/3, TRUE, 0) *
IF(ISNUMBER(SEARCH("Ordinance",$L30)),7/6,1) *
IF(OR(ISNUMBER(SEARCH("Melee",$L30)),ISNUMBER(SEARCH("Bypass",$L30))),1.5,1)</f>
        <v>0.22222222222222221</v>
      </c>
      <c r="AO30" s="17" cm="1">
        <f t="array" ref="AO30">$H30 *
IF(ISNUMBER(SEARCH("Rapid",$L30)),7/6,1) *
IF(OR(ISNUMBER(SEARCH("Beam",$L30)),ISNUMBER(SEARCH("Firestorm",$L30))),1, IF(ISNUMBER(SEARCH("Blast",$L30)),(4+$G30+(2-$G30)*0.5)/6*2,(4+$G30)/6)) *
_xlfn.IFS(AO$24-$I30 &lt;=1, 5/6, AO$24-$I30 &lt;=5, (7-(AO$24-$I30))/6, AND(AO$24-$I30 =6,NOT(_xlfn.IFNA(ISNUMBER(SEARCH("Rending",$L30)),FALSE))), (7-(AO$24-$I30))/6, AND(AO$24-$I30 &gt;=7,NOT(_xlfn.IFNA(ISNUMBER(SEARCH("Rending",$L30)),FALSE))), 0, AO$24-$I30 =7, (7-(AO$24-1-$I30))/6, AO$24-$I30 =8, (7-(AO$24-2-$I30))/6*2/3, AO$24-$I30 =9, (7-(AO$24-3-$I30))/6*1/3, TRUE, 0) *
IF(ISNUMBER(SEARCH("Ordinance",$L30)),7/6,1) *
IF(OR(ISNUMBER(SEARCH("Melee",$L30)),ISNUMBER(SEARCH("Bypass",$L30))),1.5,1)</f>
        <v>0</v>
      </c>
      <c r="AP30" s="17" cm="1">
        <f t="array" ref="AP30">$H30 *
IF(ISNUMBER(SEARCH("Rapid",$L30)),7/6,1) *
IF(OR(ISNUMBER(SEARCH("Beam",$L30)),ISNUMBER(SEARCH("Firestorm",$L30))),1, IF(ISNUMBER(SEARCH("Blast",$L30)),(4+$G30+(2-$G30)*0.5)/6*2,(4+$G30)/6)) *
_xlfn.IFS(AP$24-$I30 &lt;=1, 5/6, AP$24-$I30 &lt;=5, (7-(AP$24-$I30))/6, AND(AP$24-$I30 =6,NOT(_xlfn.IFNA(ISNUMBER(SEARCH("Rending",$L30)),FALSE))), (7-(AP$24-$I30))/6, AND(AP$24-$I30 &gt;=7,NOT(_xlfn.IFNA(ISNUMBER(SEARCH("Rending",$L30)),FALSE))), 0, AP$24-$I30 =7, (7-(AP$24-1-$I30))/6, AP$24-$I30 =8, (7-(AP$24-2-$I30))/6*2/3, AP$24-$I30 =9, (7-(AP$24-3-$I30))/6*1/3, TRUE, 0) *
IF(ISNUMBER(SEARCH("Ordinance",$L30)),7/6,1) *
IF(OR(ISNUMBER(SEARCH("Melee",$L30)),ISNUMBER(SEARCH("Bypass",$L30))),1.5,1)</f>
        <v>0</v>
      </c>
      <c r="AQ30" s="17" cm="1">
        <f t="array" ref="AQ30">$H30 *
IF(ISNUMBER(SEARCH("Rapid",$L30)),7/6,1) *
IF(OR(ISNUMBER(SEARCH("Beam",$L30)),ISNUMBER(SEARCH("Firestorm",$L30))),1, IF(ISNUMBER(SEARCH("Blast",$L30)),(4+$G30+(2-$G30)*0.5)/6*2,(4+$G30)/6)) *
_xlfn.IFS(AQ$24-$I30 &lt;=1, 5/6, AQ$24-$I30 &lt;=5, (7-(AQ$24-$I30))/6, AND(AQ$24-$I30 =6,NOT(_xlfn.IFNA(ISNUMBER(SEARCH("Rending",$L30)),FALSE))), (7-(AQ$24-$I30))/6, AND(AQ$24-$I30 &gt;=7,NOT(_xlfn.IFNA(ISNUMBER(SEARCH("Rending",$L30)),FALSE))), 0, AQ$24-$I30 =7, (7-(AQ$24-1-$I30))/6, AQ$24-$I30 =8, (7-(AQ$24-2-$I30))/6*2/3, AQ$24-$I30 =9, (7-(AQ$24-3-$I30))/6*1/3, TRUE, 0) *
IF(ISNUMBER(SEARCH("Ordinance",$L30)),7/6,1) *
IF(OR(ISNUMBER(SEARCH("Melee",$L30)),ISNUMBER(SEARCH("Bypass",$L30))),1.5,1)</f>
        <v>0</v>
      </c>
      <c r="AS30" s="16">
        <f t="shared" si="5"/>
        <v>0.44444444444444442</v>
      </c>
      <c r="AT30" s="16">
        <f t="shared" si="6"/>
        <v>0.59259259259259256</v>
      </c>
      <c r="AU30" s="16">
        <f t="shared" si="0"/>
        <v>0.92592592592592593</v>
      </c>
      <c r="AV30" s="2">
        <v>10</v>
      </c>
    </row>
    <row r="31" spans="1:48" x14ac:dyDescent="0.3">
      <c r="A31" t="s">
        <v>176</v>
      </c>
      <c r="B31" s="3">
        <v>8</v>
      </c>
      <c r="C31" s="3">
        <v>24</v>
      </c>
      <c r="D31" s="3">
        <v>1</v>
      </c>
      <c r="E31" s="3">
        <v>1</v>
      </c>
      <c r="F31" s="10">
        <v>0</v>
      </c>
      <c r="G31" s="10">
        <v>-1</v>
      </c>
      <c r="H31" s="3">
        <v>2</v>
      </c>
      <c r="I31" s="3">
        <v>8</v>
      </c>
      <c r="J31" s="3" t="s">
        <v>198</v>
      </c>
      <c r="K31" s="3">
        <v>30</v>
      </c>
      <c r="L31" s="3" t="s">
        <v>204</v>
      </c>
      <c r="M31" s="3" t="s">
        <v>199</v>
      </c>
      <c r="N31" s="3">
        <v>9</v>
      </c>
      <c r="O31" s="3">
        <v>9</v>
      </c>
      <c r="P31" s="3">
        <v>13</v>
      </c>
      <c r="Q31" s="3" t="s">
        <v>200</v>
      </c>
      <c r="R31" s="3">
        <v>7</v>
      </c>
      <c r="S31" s="3">
        <v>9</v>
      </c>
      <c r="T31" s="3">
        <v>5</v>
      </c>
      <c r="V31" s="16">
        <f t="shared" si="1"/>
        <v>1.1111111111111112</v>
      </c>
      <c r="W31" s="16">
        <f t="shared" si="2"/>
        <v>1.6666666666666667</v>
      </c>
      <c r="X31" s="17" cm="1">
        <f t="array" ref="X31">$H31 *
IF(ISNUMBER(SEARCH("Rapid",$L31)),7/6,1) *
IF(OR(ISNUMBER(SEARCH("Beam",$L31)),ISNUMBER(SEARCH("Firestorm",$L31))),1, IF(ISNUMBER(SEARCH("Blast",$L31)),(4+$F31+(2-$F31)*0.5)/6*2,(4+$F31)/6)) *
IF(ISNUMBER(SEARCH("Fusion",$L31)), _xlfn.IFS(X$24-$I31 &lt;=1, 9/10, X$24-$I31 &lt;=10,(11-(X$24-$I31))/10, X$24-$I31 &gt;=11, 0),
_xlfn.IFS(X$24-$I31 &lt;=1, 5/6, X$24-$I31 &lt;=5, (7-(X$24-$I31))/6, AND(X$24-$I31 =6,NOT(_xlfn.IFNA(ISNUMBER(SEARCH("Rending",$L31)),FALSE))), (7-(X$24-$I31))/6, AND(X$24-$I31 &gt;=7,NOT(_xlfn.IFNA(ISNUMBER(SEARCH("Rending",$L31)),FALSE))), 0, X$24-$I31 =7, (7-(X$24-1-$I31))/6, X$24-$I31 =8, (7-(X$24-2-$I31))/6*2/3, X$24-$I31 =9, (7-(X$24-3-$I31))/6*1/3, TRUE, 0)) *
IF(ISNUMBER(SEARCH("Ordinance",$L31)),7/6,1) *
IF(OR(ISNUMBER(SEARCH("Melee",$L31)),ISNUMBER(SEARCH("Bypass",$L31))),1.5,1)</f>
        <v>2.7777777777777781</v>
      </c>
      <c r="Y31" s="17" cm="1">
        <f t="array" ref="Y31">$H31 *
IF(ISNUMBER(SEARCH("Rapid",$L31)),7/6,1) *
IF(OR(ISNUMBER(SEARCH("Beam",$L31)),ISNUMBER(SEARCH("Firestorm",$L31))),1, IF(ISNUMBER(SEARCH("Blast",$L31)),(4+$F31+(2-$F31)*0.5)/6*2,(4+$F31)/6)) *
IF(ISNUMBER(SEARCH("Fusion",$L31)), _xlfn.IFS(Y$24-$I31 &lt;=1, 9/10, Y$24-$I31 &lt;=10,(11-(Y$24-$I31))/10, Y$24-$I31 &gt;=11, 0),
_xlfn.IFS(Y$24-$I31 &lt;=1, 5/6, Y$24-$I31 &lt;=5, (7-(Y$24-$I31))/6, AND(Y$24-$I31 =6,NOT(_xlfn.IFNA(ISNUMBER(SEARCH("Rending",$L31)),FALSE))), (7-(Y$24-$I31))/6, AND(Y$24-$I31 &gt;=7,NOT(_xlfn.IFNA(ISNUMBER(SEARCH("Rending",$L31)),FALSE))), 0, Y$24-$I31 =7, (7-(Y$24-1-$I31))/6, Y$24-$I31 =8, (7-(Y$24-2-$I31))/6*2/3, Y$24-$I31 =9, (7-(Y$24-3-$I31))/6*1/3, TRUE, 0)) *
IF(ISNUMBER(SEARCH("Ordinance",$L31)),7/6,1) *
IF(OR(ISNUMBER(SEARCH("Melee",$L31)),ISNUMBER(SEARCH("Bypass",$L31))),1.5,1)</f>
        <v>2.7777777777777781</v>
      </c>
      <c r="Z31" s="17" cm="1">
        <f t="array" ref="Z31">$H31 *
IF(ISNUMBER(SEARCH("Rapid",$L31)),7/6,1) *
IF(OR(ISNUMBER(SEARCH("Beam",$L31)),ISNUMBER(SEARCH("Firestorm",$L31))),1, IF(ISNUMBER(SEARCH("Blast",$L31)),(4+$F31+(2-$F31)*0.5)/6*2,(4+$F31)/6)) *
IF(ISNUMBER(SEARCH("Fusion",$L31)), _xlfn.IFS(Z$24-$I31 &lt;=1, 9/10, Z$24-$I31 &lt;=10,(11-(Z$24-$I31))/10, Z$24-$I31 &gt;=11, 0),
_xlfn.IFS(Z$24-$I31 &lt;=1, 5/6, Z$24-$I31 &lt;=5, (7-(Z$24-$I31))/6, AND(Z$24-$I31 =6,NOT(_xlfn.IFNA(ISNUMBER(SEARCH("Rending",$L31)),FALSE))), (7-(Z$24-$I31))/6, AND(Z$24-$I31 &gt;=7,NOT(_xlfn.IFNA(ISNUMBER(SEARCH("Rending",$L31)),FALSE))), 0, Z$24-$I31 =7, (7-(Z$24-1-$I31))/6, Z$24-$I31 =8, (7-(Z$24-2-$I31))/6*2/3, Z$24-$I31 =9, (7-(Z$24-3-$I31))/6*1/3, TRUE, 0)) *
IF(ISNUMBER(SEARCH("Ordinance",$L31)),7/6,1) *
IF(OR(ISNUMBER(SEARCH("Melee",$L31)),ISNUMBER(SEARCH("Bypass",$L31))),1.5,1)</f>
        <v>2.2222222222222223</v>
      </c>
      <c r="AA31" s="17" cm="1">
        <f t="array" ref="AA31">$H31 *
IF(ISNUMBER(SEARCH("Rapid",$L31)),7/6,1) *
IF(OR(ISNUMBER(SEARCH("Beam",$L31)),ISNUMBER(SEARCH("Firestorm",$L31))),1, IF(ISNUMBER(SEARCH("Blast",$L31)),(4+$F31+(2-$F31)*0.5)/6*2,(4+$F31)/6)) *
IF(ISNUMBER(SEARCH("Fusion",$L31)), _xlfn.IFS(AA$24-$I31 &lt;=1, 9/10, AA$24-$I31 &lt;=10,(11-(AA$24-$I31))/10, AA$24-$I31 &gt;=11, 0),
_xlfn.IFS(AA$24-$I31 &lt;=1, 5/6, AA$24-$I31 &lt;=5, (7-(AA$24-$I31))/6, AND(AA$24-$I31 =6,NOT(_xlfn.IFNA(ISNUMBER(SEARCH("Rending",$L31)),FALSE))), (7-(AA$24-$I31))/6, AND(AA$24-$I31 &gt;=7,NOT(_xlfn.IFNA(ISNUMBER(SEARCH("Rending",$L31)),FALSE))), 0, AA$24-$I31 =7, (7-(AA$24-1-$I31))/6, AA$24-$I31 =8, (7-(AA$24-2-$I31))/6*2/3, AA$24-$I31 =9, (7-(AA$24-3-$I31))/6*1/3, TRUE, 0)) *
IF(ISNUMBER(SEARCH("Ordinance",$L31)),7/6,1) *
IF(OR(ISNUMBER(SEARCH("Melee",$L31)),ISNUMBER(SEARCH("Bypass",$L31))),1.5,1)</f>
        <v>1.6666666666666667</v>
      </c>
      <c r="AB31" s="17" cm="1">
        <f t="array" ref="AB31">$H31 *
IF(ISNUMBER(SEARCH("Rapid",$L31)),7/6,1) *
IF(OR(ISNUMBER(SEARCH("Beam",$L31)),ISNUMBER(SEARCH("Firestorm",$L31))),1, IF(ISNUMBER(SEARCH("Blast",$L31)),(4+$F31+(2-$F31)*0.5)/6*2,(4+$F31)/6)) *
IF(ISNUMBER(SEARCH("Fusion",$L31)), _xlfn.IFS(AB$24-$I31 &lt;=1, 9/10, AB$24-$I31 &lt;=10,(11-(AB$24-$I31))/10, AB$24-$I31 &gt;=11, 0),
_xlfn.IFS(AB$24-$I31 &lt;=1, 5/6, AB$24-$I31 &lt;=5, (7-(AB$24-$I31))/6, AND(AB$24-$I31 =6,NOT(_xlfn.IFNA(ISNUMBER(SEARCH("Rending",$L31)),FALSE))), (7-(AB$24-$I31))/6, AND(AB$24-$I31 &gt;=7,NOT(_xlfn.IFNA(ISNUMBER(SEARCH("Rending",$L31)),FALSE))), 0, AB$24-$I31 =7, (7-(AB$24-1-$I31))/6, AB$24-$I31 =8, (7-(AB$24-2-$I31))/6*2/3, AB$24-$I31 =9, (7-(AB$24-3-$I31))/6*1/3, TRUE, 0)) *
IF(ISNUMBER(SEARCH("Ordinance",$L31)),7/6,1) *
IF(OR(ISNUMBER(SEARCH("Melee",$L31)),ISNUMBER(SEARCH("Bypass",$L31))),1.5,1)</f>
        <v>1.1111111111111112</v>
      </c>
      <c r="AC31" s="17" cm="1">
        <f t="array" ref="AC31">$H31 *
IF(ISNUMBER(SEARCH("Rapid",$L31)),7/6,1) *
IF(OR(ISNUMBER(SEARCH("Beam",$L31)),ISNUMBER(SEARCH("Firestorm",$L31))),1, IF(ISNUMBER(SEARCH("Blast",$L31)),(4+$F31+(2-$F31)*0.5)/6*2,(4+$F31)/6)) *
IF(ISNUMBER(SEARCH("Fusion",$L31)), _xlfn.IFS(AC$24-$I31 &lt;=1, 9/10, AC$24-$I31 &lt;=10,(11-(AC$24-$I31))/10, AC$24-$I31 &gt;=11, 0),
_xlfn.IFS(AC$24-$I31 &lt;=1, 5/6, AC$24-$I31 &lt;=5, (7-(AC$24-$I31))/6, AND(AC$24-$I31 =6,NOT(_xlfn.IFNA(ISNUMBER(SEARCH("Rending",$L31)),FALSE))), (7-(AC$24-$I31))/6, AND(AC$24-$I31 &gt;=7,NOT(_xlfn.IFNA(ISNUMBER(SEARCH("Rending",$L31)),FALSE))), 0, AC$24-$I31 =7, (7-(AC$24-1-$I31))/6, AC$24-$I31 =8, (7-(AC$24-2-$I31))/6*2/3, AC$24-$I31 =9, (7-(AC$24-3-$I31))/6*1/3, TRUE, 0)) *
IF(ISNUMBER(SEARCH("Ordinance",$L31)),7/6,1) *
IF(OR(ISNUMBER(SEARCH("Melee",$L31)),ISNUMBER(SEARCH("Bypass",$L31))),1.5,1)</f>
        <v>0.55555555555555558</v>
      </c>
      <c r="AD31" s="17" cm="1">
        <f t="array" ref="AD31">$H31 *
IF(ISNUMBER(SEARCH("Rapid",$L31)),7/6,1) *
IF(OR(ISNUMBER(SEARCH("Beam",$L31)),ISNUMBER(SEARCH("Firestorm",$L31))),1, IF(ISNUMBER(SEARCH("Blast",$L31)),(4+$F31+(2-$F31)*0.5)/6*2,(4+$F31)/6)) *
IF(ISNUMBER(SEARCH("Fusion",$L31)), _xlfn.IFS(AD$24-$I31 &lt;=1, 9/10, AD$24-$I31 &lt;=10,(11-(AD$24-$I31))/10, AD$24-$I31 &gt;=11, 0),
_xlfn.IFS(AD$24-$I31 &lt;=1, 5/6, AD$24-$I31 &lt;=5, (7-(AD$24-$I31))/6, AND(AD$24-$I31 =6,NOT(_xlfn.IFNA(ISNUMBER(SEARCH("Rending",$L31)),FALSE))), (7-(AD$24-$I31))/6, AND(AD$24-$I31 &gt;=7,NOT(_xlfn.IFNA(ISNUMBER(SEARCH("Rending",$L31)),FALSE))), 0, AD$24-$I31 =7, (7-(AD$24-1-$I31))/6, AD$24-$I31 =8, (7-(AD$24-2-$I31))/6*2/3, AD$24-$I31 =9, (7-(AD$24-3-$I31))/6*1/3, TRUE, 0)) *
IF(ISNUMBER(SEARCH("Ordinance",$L31)),7/6,1) *
IF(OR(ISNUMBER(SEARCH("Melee",$L31)),ISNUMBER(SEARCH("Bypass",$L31))),1.5,1)</f>
        <v>0</v>
      </c>
      <c r="AE31" s="17" cm="1">
        <f t="array" ref="AE31">$H31 *
IF(ISNUMBER(SEARCH("Rapid",$L31)),7/6,1) *
IF(OR(ISNUMBER(SEARCH("Beam",$L31)),ISNUMBER(SEARCH("Firestorm",$L31))),1, IF(ISNUMBER(SEARCH("Blast",$L31)),(4+$F31+(2-$F31)*0.5)/6*2,(4+$F31)/6)) *
IF(ISNUMBER(SEARCH("Fusion",$L31)), _xlfn.IFS(AE$24-$I31 &lt;=1, 9/10, AE$24-$I31 &lt;=10,(11-(AE$24-$I31))/10, AE$24-$I31 &gt;=11, 0),
_xlfn.IFS(AE$24-$I31 &lt;=1, 5/6, AE$24-$I31 &lt;=5, (7-(AE$24-$I31))/6, AND(AE$24-$I31 =6,NOT(_xlfn.IFNA(ISNUMBER(SEARCH("Rending",$L31)),FALSE))), (7-(AE$24-$I31))/6, AND(AE$24-$I31 &gt;=7,NOT(_xlfn.IFNA(ISNUMBER(SEARCH("Rending",$L31)),FALSE))), 0, AE$24-$I31 =7, (7-(AE$24-1-$I31))/6, AE$24-$I31 =8, (7-(AE$24-2-$I31))/6*2/3, AE$24-$I31 =9, (7-(AE$24-3-$I31))/6*1/3, TRUE, 0)) *
IF(ISNUMBER(SEARCH("Ordinance",$L31)),7/6,1) *
IF(OR(ISNUMBER(SEARCH("Melee",$L31)),ISNUMBER(SEARCH("Bypass",$L31))),1.5,1)</f>
        <v>0</v>
      </c>
      <c r="AF31" s="17" cm="1">
        <f t="array" ref="AF31">$H31 *
IF(ISNUMBER(SEARCH("Rapid",$L31)),7/6,1) *
IF(OR(ISNUMBER(SEARCH("Beam",$L31)),ISNUMBER(SEARCH("Firestorm",$L31))),1, IF(ISNUMBER(SEARCH("Blast",$L31)),(4+$F31+(2-$F31)*0.5)/6*2,(4+$F31)/6)) *
IF(ISNUMBER(SEARCH("Fusion",$L31)), _xlfn.IFS(AF$24-$I31 &lt;=1, 9/10, AF$24-$I31 &lt;=10,(11-(AF$24-$I31))/10, AF$24-$I31 &gt;=11, 0),
_xlfn.IFS(AF$24-$I31 &lt;=1, 5/6, AF$24-$I31 &lt;=5, (7-(AF$24-$I31))/6, AND(AF$24-$I31 =6,NOT(_xlfn.IFNA(ISNUMBER(SEARCH("Rending",$L31)),FALSE))), (7-(AF$24-$I31))/6, AND(AF$24-$I31 &gt;=7,NOT(_xlfn.IFNA(ISNUMBER(SEARCH("Rending",$L31)),FALSE))), 0, AF$24-$I31 =7, (7-(AF$24-1-$I31))/6, AF$24-$I31 =8, (7-(AF$24-2-$I31))/6*2/3, AF$24-$I31 =9, (7-(AF$24-3-$I31))/6*1/3, TRUE, 0)) *
IF(ISNUMBER(SEARCH("Ordinance",$L31)),7/6,1) *
IF(OR(ISNUMBER(SEARCH("Melee",$L31)),ISNUMBER(SEARCH("Bypass",$L31))),1.5,1)</f>
        <v>0</v>
      </c>
      <c r="AG31" s="16">
        <f t="shared" si="3"/>
        <v>1</v>
      </c>
      <c r="AH31" s="16">
        <f t="shared" si="4"/>
        <v>1.5</v>
      </c>
      <c r="AI31" s="17" cm="1">
        <f t="array" ref="AI31">$H31 *
IF(ISNUMBER(SEARCH("Rapid",$L31)),7/6,1) *
IF(OR(ISNUMBER(SEARCH("Beam",$L31)),ISNUMBER(SEARCH("Firestorm",$L31))),1, IF(ISNUMBER(SEARCH("Blast",$L31)),(4+$G31+(2-$G31)*0.5)/6*2,(4+$G31)/6)) *
_xlfn.IFS(AI$24-$I31 &lt;=1, 5/6, AI$24-$I31 &lt;=5, (7-(AI$24-$I31))/6, AND(AI$24-$I31 =6,NOT(_xlfn.IFNA(ISNUMBER(SEARCH("Rending",$L31)),FALSE))), (7-(AI$24-$I31))/6, AND(AI$24-$I31 &gt;=7,NOT(_xlfn.IFNA(ISNUMBER(SEARCH("Rending",$L31)),FALSE))), 0, AI$24-$I31 =7, (7-(AI$24-1-$I31))/6, AI$24-$I31 =8, (7-(AI$24-2-$I31))/6*2/3, AI$24-$I31 =9, (7-(AI$24-3-$I31))/6*1/3, TRUE, 0) *
IF(ISNUMBER(SEARCH("Ordinance",$L31)),7/6,1) *
IF(OR(ISNUMBER(SEARCH("Melee",$L31)),ISNUMBER(SEARCH("Bypass",$L31))),1.5,1)</f>
        <v>2.5</v>
      </c>
      <c r="AJ31" s="17" cm="1">
        <f t="array" ref="AJ31">$H31 *
IF(ISNUMBER(SEARCH("Rapid",$L31)),7/6,1) *
IF(OR(ISNUMBER(SEARCH("Beam",$L31)),ISNUMBER(SEARCH("Firestorm",$L31))),1, IF(ISNUMBER(SEARCH("Blast",$L31)),(4+$G31+(2-$G31)*0.5)/6*2,(4+$G31)/6)) *
_xlfn.IFS(AJ$24-$I31 &lt;=1, 5/6, AJ$24-$I31 &lt;=5, (7-(AJ$24-$I31))/6, AND(AJ$24-$I31 =6,NOT(_xlfn.IFNA(ISNUMBER(SEARCH("Rending",$L31)),FALSE))), (7-(AJ$24-$I31))/6, AND(AJ$24-$I31 &gt;=7,NOT(_xlfn.IFNA(ISNUMBER(SEARCH("Rending",$L31)),FALSE))), 0, AJ$24-$I31 =7, (7-(AJ$24-1-$I31))/6, AJ$24-$I31 =8, (7-(AJ$24-2-$I31))/6*2/3, AJ$24-$I31 =9, (7-(AJ$24-3-$I31))/6*1/3, TRUE, 0) *
IF(ISNUMBER(SEARCH("Ordinance",$L31)),7/6,1) *
IF(OR(ISNUMBER(SEARCH("Melee",$L31)),ISNUMBER(SEARCH("Bypass",$L31))),1.5,1)</f>
        <v>2.5</v>
      </c>
      <c r="AK31" s="17" cm="1">
        <f t="array" ref="AK31">$H31 *
IF(ISNUMBER(SEARCH("Rapid",$L31)),7/6,1) *
IF(OR(ISNUMBER(SEARCH("Beam",$L31)),ISNUMBER(SEARCH("Firestorm",$L31))),1, IF(ISNUMBER(SEARCH("Blast",$L31)),(4+$G31+(2-$G31)*0.5)/6*2,(4+$G31)/6)) *
_xlfn.IFS(AK$24-$I31 &lt;=1, 5/6, AK$24-$I31 &lt;=5, (7-(AK$24-$I31))/6, AND(AK$24-$I31 =6,NOT(_xlfn.IFNA(ISNUMBER(SEARCH("Rending",$L31)),FALSE))), (7-(AK$24-$I31))/6, AND(AK$24-$I31 &gt;=7,NOT(_xlfn.IFNA(ISNUMBER(SEARCH("Rending",$L31)),FALSE))), 0, AK$24-$I31 =7, (7-(AK$24-1-$I31))/6, AK$24-$I31 =8, (7-(AK$24-2-$I31))/6*2/3, AK$24-$I31 =9, (7-(AK$24-3-$I31))/6*1/3, TRUE, 0) *
IF(ISNUMBER(SEARCH("Ordinance",$L31)),7/6,1) *
IF(OR(ISNUMBER(SEARCH("Melee",$L31)),ISNUMBER(SEARCH("Bypass",$L31))),1.5,1)</f>
        <v>2</v>
      </c>
      <c r="AL31" s="17" cm="1">
        <f t="array" ref="AL31">$H31 *
IF(ISNUMBER(SEARCH("Rapid",$L31)),7/6,1) *
IF(OR(ISNUMBER(SEARCH("Beam",$L31)),ISNUMBER(SEARCH("Firestorm",$L31))),1, IF(ISNUMBER(SEARCH("Blast",$L31)),(4+$G31+(2-$G31)*0.5)/6*2,(4+$G31)/6)) *
_xlfn.IFS(AL$24-$I31 &lt;=1, 5/6, AL$24-$I31 &lt;=5, (7-(AL$24-$I31))/6, AND(AL$24-$I31 =6,NOT(_xlfn.IFNA(ISNUMBER(SEARCH("Rending",$L31)),FALSE))), (7-(AL$24-$I31))/6, AND(AL$24-$I31 &gt;=7,NOT(_xlfn.IFNA(ISNUMBER(SEARCH("Rending",$L31)),FALSE))), 0, AL$24-$I31 =7, (7-(AL$24-1-$I31))/6, AL$24-$I31 =8, (7-(AL$24-2-$I31))/6*2/3, AL$24-$I31 =9, (7-(AL$24-3-$I31))/6*1/3, TRUE, 0) *
IF(ISNUMBER(SEARCH("Ordinance",$L31)),7/6,1) *
IF(OR(ISNUMBER(SEARCH("Melee",$L31)),ISNUMBER(SEARCH("Bypass",$L31))),1.5,1)</f>
        <v>1.5</v>
      </c>
      <c r="AM31" s="17" cm="1">
        <f t="array" ref="AM31">$H31 *
IF(ISNUMBER(SEARCH("Rapid",$L31)),7/6,1) *
IF(OR(ISNUMBER(SEARCH("Beam",$L31)),ISNUMBER(SEARCH("Firestorm",$L31))),1, IF(ISNUMBER(SEARCH("Blast",$L31)),(4+$G31+(2-$G31)*0.5)/6*2,(4+$G31)/6)) *
_xlfn.IFS(AM$24-$I31 &lt;=1, 5/6, AM$24-$I31 &lt;=5, (7-(AM$24-$I31))/6, AND(AM$24-$I31 =6,NOT(_xlfn.IFNA(ISNUMBER(SEARCH("Rending",$L31)),FALSE))), (7-(AM$24-$I31))/6, AND(AM$24-$I31 &gt;=7,NOT(_xlfn.IFNA(ISNUMBER(SEARCH("Rending",$L31)),FALSE))), 0, AM$24-$I31 =7, (7-(AM$24-1-$I31))/6, AM$24-$I31 =8, (7-(AM$24-2-$I31))/6*2/3, AM$24-$I31 =9, (7-(AM$24-3-$I31))/6*1/3, TRUE, 0) *
IF(ISNUMBER(SEARCH("Ordinance",$L31)),7/6,1) *
IF(OR(ISNUMBER(SEARCH("Melee",$L31)),ISNUMBER(SEARCH("Bypass",$L31))),1.5,1)</f>
        <v>1</v>
      </c>
      <c r="AN31" s="17" cm="1">
        <f t="array" ref="AN31">$H31 *
IF(ISNUMBER(SEARCH("Rapid",$L31)),7/6,1) *
IF(OR(ISNUMBER(SEARCH("Beam",$L31)),ISNUMBER(SEARCH("Firestorm",$L31))),1, IF(ISNUMBER(SEARCH("Blast",$L31)),(4+$G31+(2-$G31)*0.5)/6*2,(4+$G31)/6)) *
_xlfn.IFS(AN$24-$I31 &lt;=1, 5/6, AN$24-$I31 &lt;=5, (7-(AN$24-$I31))/6, AND(AN$24-$I31 =6,NOT(_xlfn.IFNA(ISNUMBER(SEARCH("Rending",$L31)),FALSE))), (7-(AN$24-$I31))/6, AND(AN$24-$I31 &gt;=7,NOT(_xlfn.IFNA(ISNUMBER(SEARCH("Rending",$L31)),FALSE))), 0, AN$24-$I31 =7, (7-(AN$24-1-$I31))/6, AN$24-$I31 =8, (7-(AN$24-2-$I31))/6*2/3, AN$24-$I31 =9, (7-(AN$24-3-$I31))/6*1/3, TRUE, 0) *
IF(ISNUMBER(SEARCH("Ordinance",$L31)),7/6,1) *
IF(OR(ISNUMBER(SEARCH("Melee",$L31)),ISNUMBER(SEARCH("Bypass",$L31))),1.5,1)</f>
        <v>0.5</v>
      </c>
      <c r="AO31" s="17" cm="1">
        <f t="array" ref="AO31">$H31 *
IF(ISNUMBER(SEARCH("Rapid",$L31)),7/6,1) *
IF(OR(ISNUMBER(SEARCH("Beam",$L31)),ISNUMBER(SEARCH("Firestorm",$L31))),1, IF(ISNUMBER(SEARCH("Blast",$L31)),(4+$G31+(2-$G31)*0.5)/6*2,(4+$G31)/6)) *
_xlfn.IFS(AO$24-$I31 &lt;=1, 5/6, AO$24-$I31 &lt;=5, (7-(AO$24-$I31))/6, AND(AO$24-$I31 =6,NOT(_xlfn.IFNA(ISNUMBER(SEARCH("Rending",$L31)),FALSE))), (7-(AO$24-$I31))/6, AND(AO$24-$I31 &gt;=7,NOT(_xlfn.IFNA(ISNUMBER(SEARCH("Rending",$L31)),FALSE))), 0, AO$24-$I31 =7, (7-(AO$24-1-$I31))/6, AO$24-$I31 =8, (7-(AO$24-2-$I31))/6*2/3, AO$24-$I31 =9, (7-(AO$24-3-$I31))/6*1/3, TRUE, 0) *
IF(ISNUMBER(SEARCH("Ordinance",$L31)),7/6,1) *
IF(OR(ISNUMBER(SEARCH("Melee",$L31)),ISNUMBER(SEARCH("Bypass",$L31))),1.5,1)</f>
        <v>0</v>
      </c>
      <c r="AP31" s="17" cm="1">
        <f t="array" ref="AP31">$H31 *
IF(ISNUMBER(SEARCH("Rapid",$L31)),7/6,1) *
IF(OR(ISNUMBER(SEARCH("Beam",$L31)),ISNUMBER(SEARCH("Firestorm",$L31))),1, IF(ISNUMBER(SEARCH("Blast",$L31)),(4+$G31+(2-$G31)*0.5)/6*2,(4+$G31)/6)) *
_xlfn.IFS(AP$24-$I31 &lt;=1, 5/6, AP$24-$I31 &lt;=5, (7-(AP$24-$I31))/6, AND(AP$24-$I31 =6,NOT(_xlfn.IFNA(ISNUMBER(SEARCH("Rending",$L31)),FALSE))), (7-(AP$24-$I31))/6, AND(AP$24-$I31 &gt;=7,NOT(_xlfn.IFNA(ISNUMBER(SEARCH("Rending",$L31)),FALSE))), 0, AP$24-$I31 =7, (7-(AP$24-1-$I31))/6, AP$24-$I31 =8, (7-(AP$24-2-$I31))/6*2/3, AP$24-$I31 =9, (7-(AP$24-3-$I31))/6*1/3, TRUE, 0) *
IF(ISNUMBER(SEARCH("Ordinance",$L31)),7/6,1) *
IF(OR(ISNUMBER(SEARCH("Melee",$L31)),ISNUMBER(SEARCH("Bypass",$L31))),1.5,1)</f>
        <v>0</v>
      </c>
      <c r="AQ31" s="17" cm="1">
        <f t="array" ref="AQ31">$H31 *
IF(ISNUMBER(SEARCH("Rapid",$L31)),7/6,1) *
IF(OR(ISNUMBER(SEARCH("Beam",$L31)),ISNUMBER(SEARCH("Firestorm",$L31))),1, IF(ISNUMBER(SEARCH("Blast",$L31)),(4+$G31+(2-$G31)*0.5)/6*2,(4+$G31)/6)) *
_xlfn.IFS(AQ$24-$I31 &lt;=1, 5/6, AQ$24-$I31 &lt;=5, (7-(AQ$24-$I31))/6, AND(AQ$24-$I31 =6,NOT(_xlfn.IFNA(ISNUMBER(SEARCH("Rending",$L31)),FALSE))), (7-(AQ$24-$I31))/6, AND(AQ$24-$I31 &gt;=7,NOT(_xlfn.IFNA(ISNUMBER(SEARCH("Rending",$L31)),FALSE))), 0, AQ$24-$I31 =7, (7-(AQ$24-1-$I31))/6, AQ$24-$I31 =8, (7-(AQ$24-2-$I31))/6*2/3, AQ$24-$I31 =9, (7-(AQ$24-3-$I31))/6*1/3, TRUE, 0) *
IF(ISNUMBER(SEARCH("Ordinance",$L31)),7/6,1) *
IF(OR(ISNUMBER(SEARCH("Melee",$L31)),ISNUMBER(SEARCH("Bypass",$L31))),1.5,1)</f>
        <v>0</v>
      </c>
      <c r="AS31" s="16">
        <f t="shared" si="5"/>
        <v>1</v>
      </c>
      <c r="AT31" s="16">
        <f t="shared" si="6"/>
        <v>1.5</v>
      </c>
      <c r="AU31" s="16">
        <f t="shared" si="0"/>
        <v>1.3564814814814816</v>
      </c>
      <c r="AV31" s="2">
        <v>10</v>
      </c>
    </row>
    <row r="32" spans="1:48" x14ac:dyDescent="0.3">
      <c r="A32" t="s">
        <v>202</v>
      </c>
      <c r="B32" s="3">
        <v>8</v>
      </c>
      <c r="C32" s="3">
        <v>24</v>
      </c>
      <c r="D32" s="3">
        <v>1</v>
      </c>
      <c r="E32" s="3">
        <v>1</v>
      </c>
      <c r="F32" s="10">
        <v>0</v>
      </c>
      <c r="G32" s="10">
        <v>-1</v>
      </c>
      <c r="H32" s="3">
        <v>2</v>
      </c>
      <c r="I32" s="3">
        <v>10</v>
      </c>
      <c r="J32" s="3" t="s">
        <v>198</v>
      </c>
      <c r="K32" s="3">
        <v>30</v>
      </c>
      <c r="L32" s="3" t="s">
        <v>203</v>
      </c>
      <c r="M32" s="3" t="s">
        <v>199</v>
      </c>
      <c r="N32" s="3">
        <v>9</v>
      </c>
      <c r="O32" s="3">
        <v>9</v>
      </c>
      <c r="P32" s="3">
        <v>13</v>
      </c>
      <c r="Q32" s="3" t="s">
        <v>200</v>
      </c>
      <c r="R32" s="3">
        <v>7</v>
      </c>
      <c r="S32" s="3">
        <v>9</v>
      </c>
      <c r="T32" s="3">
        <v>5</v>
      </c>
      <c r="V32" s="16">
        <f t="shared" si="1"/>
        <v>1.1111111111111112</v>
      </c>
      <c r="W32" s="16">
        <f t="shared" si="2"/>
        <v>1.6666666666666667</v>
      </c>
      <c r="X32" s="17" cm="1">
        <f t="array" ref="X32">$H32 *
IF(ISNUMBER(SEARCH("Rapid",$L32)),7/6,1) *
IF(OR(ISNUMBER(SEARCH("Beam",$L32)),ISNUMBER(SEARCH("Firestorm",$L32))),1, IF(ISNUMBER(SEARCH("Blast",$L32)),(4+$F32+(2-$F32)*0.5)/6*2,(4+$F32)/6)) *
IF(ISNUMBER(SEARCH("Fusion",$L32)), _xlfn.IFS(X$24-$I32 &lt;=1, 9/10, X$24-$I32 &lt;=10,(11-(X$24-$I32))/10, X$24-$I32 &gt;=11, 0),
_xlfn.IFS(X$24-$I32 &lt;=1, 5/6, X$24-$I32 &lt;=5, (7-(X$24-$I32))/6, AND(X$24-$I32 =6,NOT(_xlfn.IFNA(ISNUMBER(SEARCH("Rending",$L32)),FALSE))), (7-(X$24-$I32))/6, AND(X$24-$I32 &gt;=7,NOT(_xlfn.IFNA(ISNUMBER(SEARCH("Rending",$L32)),FALSE))), 0, X$24-$I32 =7, (7-(X$24-1-$I32))/6, X$24-$I32 =8, (7-(X$24-2-$I32))/6*2/3, X$24-$I32 =9, (7-(X$24-3-$I32))/6*1/3, TRUE, 0)) *
IF(ISNUMBER(SEARCH("Ordinance",$L32)),7/6,1) *
IF(OR(ISNUMBER(SEARCH("Melee",$L32)),ISNUMBER(SEARCH("Bypass",$L32))),1.5,1)</f>
        <v>2.7777777777777781</v>
      </c>
      <c r="Y32" s="17" cm="1">
        <f t="array" ref="Y32">$H32 *
IF(ISNUMBER(SEARCH("Rapid",$L32)),7/6,1) *
IF(OR(ISNUMBER(SEARCH("Beam",$L32)),ISNUMBER(SEARCH("Firestorm",$L32))),1, IF(ISNUMBER(SEARCH("Blast",$L32)),(4+$F32+(2-$F32)*0.5)/6*2,(4+$F32)/6)) *
IF(ISNUMBER(SEARCH("Fusion",$L32)), _xlfn.IFS(Y$24-$I32 &lt;=1, 9/10, Y$24-$I32 &lt;=10,(11-(Y$24-$I32))/10, Y$24-$I32 &gt;=11, 0),
_xlfn.IFS(Y$24-$I32 &lt;=1, 5/6, Y$24-$I32 &lt;=5, (7-(Y$24-$I32))/6, AND(Y$24-$I32 =6,NOT(_xlfn.IFNA(ISNUMBER(SEARCH("Rending",$L32)),FALSE))), (7-(Y$24-$I32))/6, AND(Y$24-$I32 &gt;=7,NOT(_xlfn.IFNA(ISNUMBER(SEARCH("Rending",$L32)),FALSE))), 0, Y$24-$I32 =7, (7-(Y$24-1-$I32))/6, Y$24-$I32 =8, (7-(Y$24-2-$I32))/6*2/3, Y$24-$I32 =9, (7-(Y$24-3-$I32))/6*1/3, TRUE, 0)) *
IF(ISNUMBER(SEARCH("Ordinance",$L32)),7/6,1) *
IF(OR(ISNUMBER(SEARCH("Melee",$L32)),ISNUMBER(SEARCH("Bypass",$L32))),1.5,1)</f>
        <v>2.7777777777777781</v>
      </c>
      <c r="Z32" s="17" cm="1">
        <f t="array" ref="Z32">$H32 *
IF(ISNUMBER(SEARCH("Rapid",$L32)),7/6,1) *
IF(OR(ISNUMBER(SEARCH("Beam",$L32)),ISNUMBER(SEARCH("Firestorm",$L32))),1, IF(ISNUMBER(SEARCH("Blast",$L32)),(4+$F32+(2-$F32)*0.5)/6*2,(4+$F32)/6)) *
IF(ISNUMBER(SEARCH("Fusion",$L32)), _xlfn.IFS(Z$24-$I32 &lt;=1, 9/10, Z$24-$I32 &lt;=10,(11-(Z$24-$I32))/10, Z$24-$I32 &gt;=11, 0),
_xlfn.IFS(Z$24-$I32 &lt;=1, 5/6, Z$24-$I32 &lt;=5, (7-(Z$24-$I32))/6, AND(Z$24-$I32 =6,NOT(_xlfn.IFNA(ISNUMBER(SEARCH("Rending",$L32)),FALSE))), (7-(Z$24-$I32))/6, AND(Z$24-$I32 &gt;=7,NOT(_xlfn.IFNA(ISNUMBER(SEARCH("Rending",$L32)),FALSE))), 0, Z$24-$I32 =7, (7-(Z$24-1-$I32))/6, Z$24-$I32 =8, (7-(Z$24-2-$I32))/6*2/3, Z$24-$I32 =9, (7-(Z$24-3-$I32))/6*1/3, TRUE, 0)) *
IF(ISNUMBER(SEARCH("Ordinance",$L32)),7/6,1) *
IF(OR(ISNUMBER(SEARCH("Melee",$L32)),ISNUMBER(SEARCH("Bypass",$L32))),1.5,1)</f>
        <v>2.7777777777777781</v>
      </c>
      <c r="AA32" s="17" cm="1">
        <f t="array" ref="AA32">$H32 *
IF(ISNUMBER(SEARCH("Rapid",$L32)),7/6,1) *
IF(OR(ISNUMBER(SEARCH("Beam",$L32)),ISNUMBER(SEARCH("Firestorm",$L32))),1, IF(ISNUMBER(SEARCH("Blast",$L32)),(4+$F32+(2-$F32)*0.5)/6*2,(4+$F32)/6)) *
IF(ISNUMBER(SEARCH("Fusion",$L32)), _xlfn.IFS(AA$24-$I32 &lt;=1, 9/10, AA$24-$I32 &lt;=10,(11-(AA$24-$I32))/10, AA$24-$I32 &gt;=11, 0),
_xlfn.IFS(AA$24-$I32 &lt;=1, 5/6, AA$24-$I32 &lt;=5, (7-(AA$24-$I32))/6, AND(AA$24-$I32 =6,NOT(_xlfn.IFNA(ISNUMBER(SEARCH("Rending",$L32)),FALSE))), (7-(AA$24-$I32))/6, AND(AA$24-$I32 &gt;=7,NOT(_xlfn.IFNA(ISNUMBER(SEARCH("Rending",$L32)),FALSE))), 0, AA$24-$I32 =7, (7-(AA$24-1-$I32))/6, AA$24-$I32 =8, (7-(AA$24-2-$I32))/6*2/3, AA$24-$I32 =9, (7-(AA$24-3-$I32))/6*1/3, TRUE, 0)) *
IF(ISNUMBER(SEARCH("Ordinance",$L32)),7/6,1) *
IF(OR(ISNUMBER(SEARCH("Melee",$L32)),ISNUMBER(SEARCH("Bypass",$L32))),1.5,1)</f>
        <v>2.7777777777777781</v>
      </c>
      <c r="AB32" s="17" cm="1">
        <f t="array" ref="AB32">$H32 *
IF(ISNUMBER(SEARCH("Rapid",$L32)),7/6,1) *
IF(OR(ISNUMBER(SEARCH("Beam",$L32)),ISNUMBER(SEARCH("Firestorm",$L32))),1, IF(ISNUMBER(SEARCH("Blast",$L32)),(4+$F32+(2-$F32)*0.5)/6*2,(4+$F32)/6)) *
IF(ISNUMBER(SEARCH("Fusion",$L32)), _xlfn.IFS(AB$24-$I32 &lt;=1, 9/10, AB$24-$I32 &lt;=10,(11-(AB$24-$I32))/10, AB$24-$I32 &gt;=11, 0),
_xlfn.IFS(AB$24-$I32 &lt;=1, 5/6, AB$24-$I32 &lt;=5, (7-(AB$24-$I32))/6, AND(AB$24-$I32 =6,NOT(_xlfn.IFNA(ISNUMBER(SEARCH("Rending",$L32)),FALSE))), (7-(AB$24-$I32))/6, AND(AB$24-$I32 &gt;=7,NOT(_xlfn.IFNA(ISNUMBER(SEARCH("Rending",$L32)),FALSE))), 0, AB$24-$I32 =7, (7-(AB$24-1-$I32))/6, AB$24-$I32 =8, (7-(AB$24-2-$I32))/6*2/3, AB$24-$I32 =9, (7-(AB$24-3-$I32))/6*1/3, TRUE, 0)) *
IF(ISNUMBER(SEARCH("Ordinance",$L32)),7/6,1) *
IF(OR(ISNUMBER(SEARCH("Melee",$L32)),ISNUMBER(SEARCH("Bypass",$L32))),1.5,1)</f>
        <v>2.2222222222222223</v>
      </c>
      <c r="AC32" s="17" cm="1">
        <f t="array" ref="AC32">$H32 *
IF(ISNUMBER(SEARCH("Rapid",$L32)),7/6,1) *
IF(OR(ISNUMBER(SEARCH("Beam",$L32)),ISNUMBER(SEARCH("Firestorm",$L32))),1, IF(ISNUMBER(SEARCH("Blast",$L32)),(4+$F32+(2-$F32)*0.5)/6*2,(4+$F32)/6)) *
IF(ISNUMBER(SEARCH("Fusion",$L32)), _xlfn.IFS(AC$24-$I32 &lt;=1, 9/10, AC$24-$I32 &lt;=10,(11-(AC$24-$I32))/10, AC$24-$I32 &gt;=11, 0),
_xlfn.IFS(AC$24-$I32 &lt;=1, 5/6, AC$24-$I32 &lt;=5, (7-(AC$24-$I32))/6, AND(AC$24-$I32 =6,NOT(_xlfn.IFNA(ISNUMBER(SEARCH("Rending",$L32)),FALSE))), (7-(AC$24-$I32))/6, AND(AC$24-$I32 &gt;=7,NOT(_xlfn.IFNA(ISNUMBER(SEARCH("Rending",$L32)),FALSE))), 0, AC$24-$I32 =7, (7-(AC$24-1-$I32))/6, AC$24-$I32 =8, (7-(AC$24-2-$I32))/6*2/3, AC$24-$I32 =9, (7-(AC$24-3-$I32))/6*1/3, TRUE, 0)) *
IF(ISNUMBER(SEARCH("Ordinance",$L32)),7/6,1) *
IF(OR(ISNUMBER(SEARCH("Melee",$L32)),ISNUMBER(SEARCH("Bypass",$L32))),1.5,1)</f>
        <v>1.6666666666666667</v>
      </c>
      <c r="AD32" s="17" cm="1">
        <f t="array" ref="AD32">$H32 *
IF(ISNUMBER(SEARCH("Rapid",$L32)),7/6,1) *
IF(OR(ISNUMBER(SEARCH("Beam",$L32)),ISNUMBER(SEARCH("Firestorm",$L32))),1, IF(ISNUMBER(SEARCH("Blast",$L32)),(4+$F32+(2-$F32)*0.5)/6*2,(4+$F32)/6)) *
IF(ISNUMBER(SEARCH("Fusion",$L32)), _xlfn.IFS(AD$24-$I32 &lt;=1, 9/10, AD$24-$I32 &lt;=10,(11-(AD$24-$I32))/10, AD$24-$I32 &gt;=11, 0),
_xlfn.IFS(AD$24-$I32 &lt;=1, 5/6, AD$24-$I32 &lt;=5, (7-(AD$24-$I32))/6, AND(AD$24-$I32 =6,NOT(_xlfn.IFNA(ISNUMBER(SEARCH("Rending",$L32)),FALSE))), (7-(AD$24-$I32))/6, AND(AD$24-$I32 &gt;=7,NOT(_xlfn.IFNA(ISNUMBER(SEARCH("Rending",$L32)),FALSE))), 0, AD$24-$I32 =7, (7-(AD$24-1-$I32))/6, AD$24-$I32 =8, (7-(AD$24-2-$I32))/6*2/3, AD$24-$I32 =9, (7-(AD$24-3-$I32))/6*1/3, TRUE, 0)) *
IF(ISNUMBER(SEARCH("Ordinance",$L32)),7/6,1) *
IF(OR(ISNUMBER(SEARCH("Melee",$L32)),ISNUMBER(SEARCH("Bypass",$L32))),1.5,1)</f>
        <v>1.1111111111111112</v>
      </c>
      <c r="AE32" s="17" cm="1">
        <f t="array" ref="AE32">$H32 *
IF(ISNUMBER(SEARCH("Rapid",$L32)),7/6,1) *
IF(OR(ISNUMBER(SEARCH("Beam",$L32)),ISNUMBER(SEARCH("Firestorm",$L32))),1, IF(ISNUMBER(SEARCH("Blast",$L32)),(4+$F32+(2-$F32)*0.5)/6*2,(4+$F32)/6)) *
IF(ISNUMBER(SEARCH("Fusion",$L32)), _xlfn.IFS(AE$24-$I32 &lt;=1, 9/10, AE$24-$I32 &lt;=10,(11-(AE$24-$I32))/10, AE$24-$I32 &gt;=11, 0),
_xlfn.IFS(AE$24-$I32 &lt;=1, 5/6, AE$24-$I32 &lt;=5, (7-(AE$24-$I32))/6, AND(AE$24-$I32 =6,NOT(_xlfn.IFNA(ISNUMBER(SEARCH("Rending",$L32)),FALSE))), (7-(AE$24-$I32))/6, AND(AE$24-$I32 &gt;=7,NOT(_xlfn.IFNA(ISNUMBER(SEARCH("Rending",$L32)),FALSE))), 0, AE$24-$I32 =7, (7-(AE$24-1-$I32))/6, AE$24-$I32 =8, (7-(AE$24-2-$I32))/6*2/3, AE$24-$I32 =9, (7-(AE$24-3-$I32))/6*1/3, TRUE, 0)) *
IF(ISNUMBER(SEARCH("Ordinance",$L32)),7/6,1) *
IF(OR(ISNUMBER(SEARCH("Melee",$L32)),ISNUMBER(SEARCH("Bypass",$L32))),1.5,1)</f>
        <v>0.55555555555555558</v>
      </c>
      <c r="AF32" s="17" cm="1">
        <f t="array" ref="AF32">$H32 *
IF(ISNUMBER(SEARCH("Rapid",$L32)),7/6,1) *
IF(OR(ISNUMBER(SEARCH("Beam",$L32)),ISNUMBER(SEARCH("Firestorm",$L32))),1, IF(ISNUMBER(SEARCH("Blast",$L32)),(4+$F32+(2-$F32)*0.5)/6*2,(4+$F32)/6)) *
IF(ISNUMBER(SEARCH("Fusion",$L32)), _xlfn.IFS(AF$24-$I32 &lt;=1, 9/10, AF$24-$I32 &lt;=10,(11-(AF$24-$I32))/10, AF$24-$I32 &gt;=11, 0),
_xlfn.IFS(AF$24-$I32 &lt;=1, 5/6, AF$24-$I32 &lt;=5, (7-(AF$24-$I32))/6, AND(AF$24-$I32 =6,NOT(_xlfn.IFNA(ISNUMBER(SEARCH("Rending",$L32)),FALSE))), (7-(AF$24-$I32))/6, AND(AF$24-$I32 &gt;=7,NOT(_xlfn.IFNA(ISNUMBER(SEARCH("Rending",$L32)),FALSE))), 0, AF$24-$I32 =7, (7-(AF$24-1-$I32))/6, AF$24-$I32 =8, (7-(AF$24-2-$I32))/6*2/3, AF$24-$I32 =9, (7-(AF$24-3-$I32))/6*1/3, TRUE, 0)) *
IF(ISNUMBER(SEARCH("Ordinance",$L32)),7/6,1) *
IF(OR(ISNUMBER(SEARCH("Melee",$L32)),ISNUMBER(SEARCH("Bypass",$L32))),1.5,1)</f>
        <v>0</v>
      </c>
      <c r="AG32" s="16">
        <f t="shared" si="3"/>
        <v>1</v>
      </c>
      <c r="AH32" s="16">
        <f t="shared" si="4"/>
        <v>1.5</v>
      </c>
      <c r="AI32" s="17" cm="1">
        <f t="array" ref="AI32">$H32 *
IF(ISNUMBER(SEARCH("Rapid",$L32)),7/6,1) *
IF(OR(ISNUMBER(SEARCH("Beam",$L32)),ISNUMBER(SEARCH("Firestorm",$L32))),1, IF(ISNUMBER(SEARCH("Blast",$L32)),(4+$G32+(2-$G32)*0.5)/6*2,(4+$G32)/6)) *
_xlfn.IFS(AI$24-$I32 &lt;=1, 5/6, AI$24-$I32 &lt;=5, (7-(AI$24-$I32))/6, AND(AI$24-$I32 =6,NOT(_xlfn.IFNA(ISNUMBER(SEARCH("Rending",$L32)),FALSE))), (7-(AI$24-$I32))/6, AND(AI$24-$I32 &gt;=7,NOT(_xlfn.IFNA(ISNUMBER(SEARCH("Rending",$L32)),FALSE))), 0, AI$24-$I32 =7, (7-(AI$24-1-$I32))/6, AI$24-$I32 =8, (7-(AI$24-2-$I32))/6*2/3, AI$24-$I32 =9, (7-(AI$24-3-$I32))/6*1/3, TRUE, 0) *
IF(ISNUMBER(SEARCH("Ordinance",$L32)),7/6,1) *
IF(OR(ISNUMBER(SEARCH("Melee",$L32)),ISNUMBER(SEARCH("Bypass",$L32))),1.5,1)</f>
        <v>2.5</v>
      </c>
      <c r="AJ32" s="17" cm="1">
        <f t="array" ref="AJ32">$H32 *
IF(ISNUMBER(SEARCH("Rapid",$L32)),7/6,1) *
IF(OR(ISNUMBER(SEARCH("Beam",$L32)),ISNUMBER(SEARCH("Firestorm",$L32))),1, IF(ISNUMBER(SEARCH("Blast",$L32)),(4+$G32+(2-$G32)*0.5)/6*2,(4+$G32)/6)) *
_xlfn.IFS(AJ$24-$I32 &lt;=1, 5/6, AJ$24-$I32 &lt;=5, (7-(AJ$24-$I32))/6, AND(AJ$24-$I32 =6,NOT(_xlfn.IFNA(ISNUMBER(SEARCH("Rending",$L32)),FALSE))), (7-(AJ$24-$I32))/6, AND(AJ$24-$I32 &gt;=7,NOT(_xlfn.IFNA(ISNUMBER(SEARCH("Rending",$L32)),FALSE))), 0, AJ$24-$I32 =7, (7-(AJ$24-1-$I32))/6, AJ$24-$I32 =8, (7-(AJ$24-2-$I32))/6*2/3, AJ$24-$I32 =9, (7-(AJ$24-3-$I32))/6*1/3, TRUE, 0) *
IF(ISNUMBER(SEARCH("Ordinance",$L32)),7/6,1) *
IF(OR(ISNUMBER(SEARCH("Melee",$L32)),ISNUMBER(SEARCH("Bypass",$L32))),1.5,1)</f>
        <v>2.5</v>
      </c>
      <c r="AK32" s="17" cm="1">
        <f t="array" ref="AK32">$H32 *
IF(ISNUMBER(SEARCH("Rapid",$L32)),7/6,1) *
IF(OR(ISNUMBER(SEARCH("Beam",$L32)),ISNUMBER(SEARCH("Firestorm",$L32))),1, IF(ISNUMBER(SEARCH("Blast",$L32)),(4+$G32+(2-$G32)*0.5)/6*2,(4+$G32)/6)) *
_xlfn.IFS(AK$24-$I32 &lt;=1, 5/6, AK$24-$I32 &lt;=5, (7-(AK$24-$I32))/6, AND(AK$24-$I32 =6,NOT(_xlfn.IFNA(ISNUMBER(SEARCH("Rending",$L32)),FALSE))), (7-(AK$24-$I32))/6, AND(AK$24-$I32 &gt;=7,NOT(_xlfn.IFNA(ISNUMBER(SEARCH("Rending",$L32)),FALSE))), 0, AK$24-$I32 =7, (7-(AK$24-1-$I32))/6, AK$24-$I32 =8, (7-(AK$24-2-$I32))/6*2/3, AK$24-$I32 =9, (7-(AK$24-3-$I32))/6*1/3, TRUE, 0) *
IF(ISNUMBER(SEARCH("Ordinance",$L32)),7/6,1) *
IF(OR(ISNUMBER(SEARCH("Melee",$L32)),ISNUMBER(SEARCH("Bypass",$L32))),1.5,1)</f>
        <v>2.5</v>
      </c>
      <c r="AL32" s="17" cm="1">
        <f t="array" ref="AL32">$H32 *
IF(ISNUMBER(SEARCH("Rapid",$L32)),7/6,1) *
IF(OR(ISNUMBER(SEARCH("Beam",$L32)),ISNUMBER(SEARCH("Firestorm",$L32))),1, IF(ISNUMBER(SEARCH("Blast",$L32)),(4+$G32+(2-$G32)*0.5)/6*2,(4+$G32)/6)) *
_xlfn.IFS(AL$24-$I32 &lt;=1, 5/6, AL$24-$I32 &lt;=5, (7-(AL$24-$I32))/6, AND(AL$24-$I32 =6,NOT(_xlfn.IFNA(ISNUMBER(SEARCH("Rending",$L32)),FALSE))), (7-(AL$24-$I32))/6, AND(AL$24-$I32 &gt;=7,NOT(_xlfn.IFNA(ISNUMBER(SEARCH("Rending",$L32)),FALSE))), 0, AL$24-$I32 =7, (7-(AL$24-1-$I32))/6, AL$24-$I32 =8, (7-(AL$24-2-$I32))/6*2/3, AL$24-$I32 =9, (7-(AL$24-3-$I32))/6*1/3, TRUE, 0) *
IF(ISNUMBER(SEARCH("Ordinance",$L32)),7/6,1) *
IF(OR(ISNUMBER(SEARCH("Melee",$L32)),ISNUMBER(SEARCH("Bypass",$L32))),1.5,1)</f>
        <v>2.5</v>
      </c>
      <c r="AM32" s="17" cm="1">
        <f t="array" ref="AM32">$H32 *
IF(ISNUMBER(SEARCH("Rapid",$L32)),7/6,1) *
IF(OR(ISNUMBER(SEARCH("Beam",$L32)),ISNUMBER(SEARCH("Firestorm",$L32))),1, IF(ISNUMBER(SEARCH("Blast",$L32)),(4+$G32+(2-$G32)*0.5)/6*2,(4+$G32)/6)) *
_xlfn.IFS(AM$24-$I32 &lt;=1, 5/6, AM$24-$I32 &lt;=5, (7-(AM$24-$I32))/6, AND(AM$24-$I32 =6,NOT(_xlfn.IFNA(ISNUMBER(SEARCH("Rending",$L32)),FALSE))), (7-(AM$24-$I32))/6, AND(AM$24-$I32 &gt;=7,NOT(_xlfn.IFNA(ISNUMBER(SEARCH("Rending",$L32)),FALSE))), 0, AM$24-$I32 =7, (7-(AM$24-1-$I32))/6, AM$24-$I32 =8, (7-(AM$24-2-$I32))/6*2/3, AM$24-$I32 =9, (7-(AM$24-3-$I32))/6*1/3, TRUE, 0) *
IF(ISNUMBER(SEARCH("Ordinance",$L32)),7/6,1) *
IF(OR(ISNUMBER(SEARCH("Melee",$L32)),ISNUMBER(SEARCH("Bypass",$L32))),1.5,1)</f>
        <v>2</v>
      </c>
      <c r="AN32" s="17" cm="1">
        <f t="array" ref="AN32">$H32 *
IF(ISNUMBER(SEARCH("Rapid",$L32)),7/6,1) *
IF(OR(ISNUMBER(SEARCH("Beam",$L32)),ISNUMBER(SEARCH("Firestorm",$L32))),1, IF(ISNUMBER(SEARCH("Blast",$L32)),(4+$G32+(2-$G32)*0.5)/6*2,(4+$G32)/6)) *
_xlfn.IFS(AN$24-$I32 &lt;=1, 5/6, AN$24-$I32 &lt;=5, (7-(AN$24-$I32))/6, AND(AN$24-$I32 =6,NOT(_xlfn.IFNA(ISNUMBER(SEARCH("Rending",$L32)),FALSE))), (7-(AN$24-$I32))/6, AND(AN$24-$I32 &gt;=7,NOT(_xlfn.IFNA(ISNUMBER(SEARCH("Rending",$L32)),FALSE))), 0, AN$24-$I32 =7, (7-(AN$24-1-$I32))/6, AN$24-$I32 =8, (7-(AN$24-2-$I32))/6*2/3, AN$24-$I32 =9, (7-(AN$24-3-$I32))/6*1/3, TRUE, 0) *
IF(ISNUMBER(SEARCH("Ordinance",$L32)),7/6,1) *
IF(OR(ISNUMBER(SEARCH("Melee",$L32)),ISNUMBER(SEARCH("Bypass",$L32))),1.5,1)</f>
        <v>1.5</v>
      </c>
      <c r="AO32" s="17" cm="1">
        <f t="array" ref="AO32">$H32 *
IF(ISNUMBER(SEARCH("Rapid",$L32)),7/6,1) *
IF(OR(ISNUMBER(SEARCH("Beam",$L32)),ISNUMBER(SEARCH("Firestorm",$L32))),1, IF(ISNUMBER(SEARCH("Blast",$L32)),(4+$G32+(2-$G32)*0.5)/6*2,(4+$G32)/6)) *
_xlfn.IFS(AO$24-$I32 &lt;=1, 5/6, AO$24-$I32 &lt;=5, (7-(AO$24-$I32))/6, AND(AO$24-$I32 =6,NOT(_xlfn.IFNA(ISNUMBER(SEARCH("Rending",$L32)),FALSE))), (7-(AO$24-$I32))/6, AND(AO$24-$I32 &gt;=7,NOT(_xlfn.IFNA(ISNUMBER(SEARCH("Rending",$L32)),FALSE))), 0, AO$24-$I32 =7, (7-(AO$24-1-$I32))/6, AO$24-$I32 =8, (7-(AO$24-2-$I32))/6*2/3, AO$24-$I32 =9, (7-(AO$24-3-$I32))/6*1/3, TRUE, 0) *
IF(ISNUMBER(SEARCH("Ordinance",$L32)),7/6,1) *
IF(OR(ISNUMBER(SEARCH("Melee",$L32)),ISNUMBER(SEARCH("Bypass",$L32))),1.5,1)</f>
        <v>1</v>
      </c>
      <c r="AP32" s="17" cm="1">
        <f t="array" ref="AP32">$H32 *
IF(ISNUMBER(SEARCH("Rapid",$L32)),7/6,1) *
IF(OR(ISNUMBER(SEARCH("Beam",$L32)),ISNUMBER(SEARCH("Firestorm",$L32))),1, IF(ISNUMBER(SEARCH("Blast",$L32)),(4+$G32+(2-$G32)*0.5)/6*2,(4+$G32)/6)) *
_xlfn.IFS(AP$24-$I32 &lt;=1, 5/6, AP$24-$I32 &lt;=5, (7-(AP$24-$I32))/6, AND(AP$24-$I32 =6,NOT(_xlfn.IFNA(ISNUMBER(SEARCH("Rending",$L32)),FALSE))), (7-(AP$24-$I32))/6, AND(AP$24-$I32 &gt;=7,NOT(_xlfn.IFNA(ISNUMBER(SEARCH("Rending",$L32)),FALSE))), 0, AP$24-$I32 =7, (7-(AP$24-1-$I32))/6, AP$24-$I32 =8, (7-(AP$24-2-$I32))/6*2/3, AP$24-$I32 =9, (7-(AP$24-3-$I32))/6*1/3, TRUE, 0) *
IF(ISNUMBER(SEARCH("Ordinance",$L32)),7/6,1) *
IF(OR(ISNUMBER(SEARCH("Melee",$L32)),ISNUMBER(SEARCH("Bypass",$L32))),1.5,1)</f>
        <v>0.5</v>
      </c>
      <c r="AQ32" s="17" cm="1">
        <f t="array" ref="AQ32">$H32 *
IF(ISNUMBER(SEARCH("Rapid",$L32)),7/6,1) *
IF(OR(ISNUMBER(SEARCH("Beam",$L32)),ISNUMBER(SEARCH("Firestorm",$L32))),1, IF(ISNUMBER(SEARCH("Blast",$L32)),(4+$G32+(2-$G32)*0.5)/6*2,(4+$G32)/6)) *
_xlfn.IFS(AQ$24-$I32 &lt;=1, 5/6, AQ$24-$I32 &lt;=5, (7-(AQ$24-$I32))/6, AND(AQ$24-$I32 =6,NOT(_xlfn.IFNA(ISNUMBER(SEARCH("Rending",$L32)),FALSE))), (7-(AQ$24-$I32))/6, AND(AQ$24-$I32 &gt;=7,NOT(_xlfn.IFNA(ISNUMBER(SEARCH("Rending",$L32)),FALSE))), 0, AQ$24-$I32 =7, (7-(AQ$24-1-$I32))/6, AQ$24-$I32 =8, (7-(AQ$24-2-$I32))/6*2/3, AQ$24-$I32 =9, (7-(AQ$24-3-$I32))/6*1/3, TRUE, 0) *
IF(ISNUMBER(SEARCH("Ordinance",$L32)),7/6,1) *
IF(OR(ISNUMBER(SEARCH("Melee",$L32)),ISNUMBER(SEARCH("Bypass",$L32))),1.5,1)</f>
        <v>0</v>
      </c>
      <c r="AS32" s="16">
        <f t="shared" si="5"/>
        <v>1</v>
      </c>
      <c r="AT32" s="16">
        <f t="shared" si="6"/>
        <v>1.5</v>
      </c>
      <c r="AU32" s="16">
        <f t="shared" si="0"/>
        <v>1.3564814814814816</v>
      </c>
      <c r="AV32" s="2">
        <v>12</v>
      </c>
    </row>
    <row r="33" spans="1:48" x14ac:dyDescent="0.3">
      <c r="A33" t="s">
        <v>220</v>
      </c>
      <c r="B33" s="3">
        <v>8</v>
      </c>
      <c r="C33" s="8" t="s">
        <v>197</v>
      </c>
      <c r="D33" s="8">
        <v>1</v>
      </c>
      <c r="E33" s="8">
        <v>1</v>
      </c>
      <c r="F33" s="10">
        <v>0</v>
      </c>
      <c r="G33" s="10">
        <v>0</v>
      </c>
      <c r="H33" s="3">
        <v>2</v>
      </c>
      <c r="I33" s="3">
        <v>11</v>
      </c>
      <c r="J33" s="3" t="s">
        <v>198</v>
      </c>
      <c r="K33" s="3">
        <v>50</v>
      </c>
      <c r="L33" s="3" t="s">
        <v>203</v>
      </c>
      <c r="M33" s="3" t="s">
        <v>199</v>
      </c>
      <c r="N33" s="3">
        <v>9</v>
      </c>
      <c r="O33" s="3">
        <v>9</v>
      </c>
      <c r="P33" s="3">
        <v>13</v>
      </c>
      <c r="Q33" s="3" t="s">
        <v>200</v>
      </c>
      <c r="R33" s="3">
        <v>7</v>
      </c>
      <c r="S33" s="3">
        <v>9</v>
      </c>
      <c r="T33" s="3">
        <v>5</v>
      </c>
      <c r="U33" t="s">
        <v>221</v>
      </c>
      <c r="V33" s="16">
        <f t="shared" si="1"/>
        <v>1.1111111111111112</v>
      </c>
      <c r="W33" s="16">
        <f t="shared" si="2"/>
        <v>1.6666666666666667</v>
      </c>
      <c r="X33" s="17" cm="1">
        <f t="array" ref="X33">$H33 *
IF(ISNUMBER(SEARCH("Rapid",$L33)),7/6,1) *
IF(OR(ISNUMBER(SEARCH("Beam",$L33)),ISNUMBER(SEARCH("Firestorm",$L33))),1, IF(ISNUMBER(SEARCH("Blast",$L33)),(4+$F33+(2-$F33)*0.5)/6*2,(4+$F33)/6)) *
IF(ISNUMBER(SEARCH("Fusion",$L33)), _xlfn.IFS(X$24-$I33 &lt;=1, 9/10, X$24-$I33 &lt;=10,(11-(X$24-$I33))/10, X$24-$I33 &gt;=11, 0),
_xlfn.IFS(X$24-$I33 &lt;=1, 5/6, X$24-$I33 &lt;=5, (7-(X$24-$I33))/6, AND(X$24-$I33 =6,NOT(_xlfn.IFNA(ISNUMBER(SEARCH("Rending",$L33)),FALSE))), (7-(X$24-$I33))/6, AND(X$24-$I33 &gt;=7,NOT(_xlfn.IFNA(ISNUMBER(SEARCH("Rending",$L33)),FALSE))), 0, X$24-$I33 =7, (7-(X$24-1-$I33))/6, X$24-$I33 =8, (7-(X$24-2-$I33))/6*2/3, X$24-$I33 =9, (7-(X$24-3-$I33))/6*1/3, TRUE, 0)) *
IF(ISNUMBER(SEARCH("Ordinance",$L33)),7/6,1) *
IF(OR(ISNUMBER(SEARCH("Melee",$L33)),ISNUMBER(SEARCH("Bypass",$L33))),1.5,1)</f>
        <v>2.7777777777777781</v>
      </c>
      <c r="Y33" s="17" cm="1">
        <f t="array" ref="Y33">$H33 *
IF(ISNUMBER(SEARCH("Rapid",$L33)),7/6,1) *
IF(OR(ISNUMBER(SEARCH("Beam",$L33)),ISNUMBER(SEARCH("Firestorm",$L33))),1, IF(ISNUMBER(SEARCH("Blast",$L33)),(4+$F33+(2-$F33)*0.5)/6*2,(4+$F33)/6)) *
IF(ISNUMBER(SEARCH("Fusion",$L33)), _xlfn.IFS(Y$24-$I33 &lt;=1, 9/10, Y$24-$I33 &lt;=10,(11-(Y$24-$I33))/10, Y$24-$I33 &gt;=11, 0),
_xlfn.IFS(Y$24-$I33 &lt;=1, 5/6, Y$24-$I33 &lt;=5, (7-(Y$24-$I33))/6, AND(Y$24-$I33 =6,NOT(_xlfn.IFNA(ISNUMBER(SEARCH("Rending",$L33)),FALSE))), (7-(Y$24-$I33))/6, AND(Y$24-$I33 &gt;=7,NOT(_xlfn.IFNA(ISNUMBER(SEARCH("Rending",$L33)),FALSE))), 0, Y$24-$I33 =7, (7-(Y$24-1-$I33))/6, Y$24-$I33 =8, (7-(Y$24-2-$I33))/6*2/3, Y$24-$I33 =9, (7-(Y$24-3-$I33))/6*1/3, TRUE, 0)) *
IF(ISNUMBER(SEARCH("Ordinance",$L33)),7/6,1) *
IF(OR(ISNUMBER(SEARCH("Melee",$L33)),ISNUMBER(SEARCH("Bypass",$L33))),1.5,1)</f>
        <v>2.7777777777777781</v>
      </c>
      <c r="Z33" s="17" cm="1">
        <f t="array" ref="Z33">$H33 *
IF(ISNUMBER(SEARCH("Rapid",$L33)),7/6,1) *
IF(OR(ISNUMBER(SEARCH("Beam",$L33)),ISNUMBER(SEARCH("Firestorm",$L33))),1, IF(ISNUMBER(SEARCH("Blast",$L33)),(4+$F33+(2-$F33)*0.5)/6*2,(4+$F33)/6)) *
IF(ISNUMBER(SEARCH("Fusion",$L33)), _xlfn.IFS(Z$24-$I33 &lt;=1, 9/10, Z$24-$I33 &lt;=10,(11-(Z$24-$I33))/10, Z$24-$I33 &gt;=11, 0),
_xlfn.IFS(Z$24-$I33 &lt;=1, 5/6, Z$24-$I33 &lt;=5, (7-(Z$24-$I33))/6, AND(Z$24-$I33 =6,NOT(_xlfn.IFNA(ISNUMBER(SEARCH("Rending",$L33)),FALSE))), (7-(Z$24-$I33))/6, AND(Z$24-$I33 &gt;=7,NOT(_xlfn.IFNA(ISNUMBER(SEARCH("Rending",$L33)),FALSE))), 0, Z$24-$I33 =7, (7-(Z$24-1-$I33))/6, Z$24-$I33 =8, (7-(Z$24-2-$I33))/6*2/3, Z$24-$I33 =9, (7-(Z$24-3-$I33))/6*1/3, TRUE, 0)) *
IF(ISNUMBER(SEARCH("Ordinance",$L33)),7/6,1) *
IF(OR(ISNUMBER(SEARCH("Melee",$L33)),ISNUMBER(SEARCH("Bypass",$L33))),1.5,1)</f>
        <v>2.7777777777777781</v>
      </c>
      <c r="AA33" s="17" cm="1">
        <f t="array" ref="AA33">$H33 *
IF(ISNUMBER(SEARCH("Rapid",$L33)),7/6,1) *
IF(OR(ISNUMBER(SEARCH("Beam",$L33)),ISNUMBER(SEARCH("Firestorm",$L33))),1, IF(ISNUMBER(SEARCH("Blast",$L33)),(4+$F33+(2-$F33)*0.5)/6*2,(4+$F33)/6)) *
IF(ISNUMBER(SEARCH("Fusion",$L33)), _xlfn.IFS(AA$24-$I33 &lt;=1, 9/10, AA$24-$I33 &lt;=10,(11-(AA$24-$I33))/10, AA$24-$I33 &gt;=11, 0),
_xlfn.IFS(AA$24-$I33 &lt;=1, 5/6, AA$24-$I33 &lt;=5, (7-(AA$24-$I33))/6, AND(AA$24-$I33 =6,NOT(_xlfn.IFNA(ISNUMBER(SEARCH("Rending",$L33)),FALSE))), (7-(AA$24-$I33))/6, AND(AA$24-$I33 &gt;=7,NOT(_xlfn.IFNA(ISNUMBER(SEARCH("Rending",$L33)),FALSE))), 0, AA$24-$I33 =7, (7-(AA$24-1-$I33))/6, AA$24-$I33 =8, (7-(AA$24-2-$I33))/6*2/3, AA$24-$I33 =9, (7-(AA$24-3-$I33))/6*1/3, TRUE, 0)) *
IF(ISNUMBER(SEARCH("Ordinance",$L33)),7/6,1) *
IF(OR(ISNUMBER(SEARCH("Melee",$L33)),ISNUMBER(SEARCH("Bypass",$L33))),1.5,1)</f>
        <v>2.7777777777777781</v>
      </c>
      <c r="AB33" s="17" cm="1">
        <f t="array" ref="AB33">$H33 *
IF(ISNUMBER(SEARCH("Rapid",$L33)),7/6,1) *
IF(OR(ISNUMBER(SEARCH("Beam",$L33)),ISNUMBER(SEARCH("Firestorm",$L33))),1, IF(ISNUMBER(SEARCH("Blast",$L33)),(4+$F33+(2-$F33)*0.5)/6*2,(4+$F33)/6)) *
IF(ISNUMBER(SEARCH("Fusion",$L33)), _xlfn.IFS(AB$24-$I33 &lt;=1, 9/10, AB$24-$I33 &lt;=10,(11-(AB$24-$I33))/10, AB$24-$I33 &gt;=11, 0),
_xlfn.IFS(AB$24-$I33 &lt;=1, 5/6, AB$24-$I33 &lt;=5, (7-(AB$24-$I33))/6, AND(AB$24-$I33 =6,NOT(_xlfn.IFNA(ISNUMBER(SEARCH("Rending",$L33)),FALSE))), (7-(AB$24-$I33))/6, AND(AB$24-$I33 &gt;=7,NOT(_xlfn.IFNA(ISNUMBER(SEARCH("Rending",$L33)),FALSE))), 0, AB$24-$I33 =7, (7-(AB$24-1-$I33))/6, AB$24-$I33 =8, (7-(AB$24-2-$I33))/6*2/3, AB$24-$I33 =9, (7-(AB$24-3-$I33))/6*1/3, TRUE, 0)) *
IF(ISNUMBER(SEARCH("Ordinance",$L33)),7/6,1) *
IF(OR(ISNUMBER(SEARCH("Melee",$L33)),ISNUMBER(SEARCH("Bypass",$L33))),1.5,1)</f>
        <v>2.7777777777777781</v>
      </c>
      <c r="AC33" s="17" cm="1">
        <f t="array" ref="AC33">$H33 *
IF(ISNUMBER(SEARCH("Rapid",$L33)),7/6,1) *
IF(OR(ISNUMBER(SEARCH("Beam",$L33)),ISNUMBER(SEARCH("Firestorm",$L33))),1, IF(ISNUMBER(SEARCH("Blast",$L33)),(4+$F33+(2-$F33)*0.5)/6*2,(4+$F33)/6)) *
IF(ISNUMBER(SEARCH("Fusion",$L33)), _xlfn.IFS(AC$24-$I33 &lt;=1, 9/10, AC$24-$I33 &lt;=10,(11-(AC$24-$I33))/10, AC$24-$I33 &gt;=11, 0),
_xlfn.IFS(AC$24-$I33 &lt;=1, 5/6, AC$24-$I33 &lt;=5, (7-(AC$24-$I33))/6, AND(AC$24-$I33 =6,NOT(_xlfn.IFNA(ISNUMBER(SEARCH("Rending",$L33)),FALSE))), (7-(AC$24-$I33))/6, AND(AC$24-$I33 &gt;=7,NOT(_xlfn.IFNA(ISNUMBER(SEARCH("Rending",$L33)),FALSE))), 0, AC$24-$I33 =7, (7-(AC$24-1-$I33))/6, AC$24-$I33 =8, (7-(AC$24-2-$I33))/6*2/3, AC$24-$I33 =9, (7-(AC$24-3-$I33))/6*1/3, TRUE, 0)) *
IF(ISNUMBER(SEARCH("Ordinance",$L33)),7/6,1) *
IF(OR(ISNUMBER(SEARCH("Melee",$L33)),ISNUMBER(SEARCH("Bypass",$L33))),1.5,1)</f>
        <v>2.2222222222222223</v>
      </c>
      <c r="AD33" s="17" cm="1">
        <f t="array" ref="AD33">$H33 *
IF(ISNUMBER(SEARCH("Rapid",$L33)),7/6,1) *
IF(OR(ISNUMBER(SEARCH("Beam",$L33)),ISNUMBER(SEARCH("Firestorm",$L33))),1, IF(ISNUMBER(SEARCH("Blast",$L33)),(4+$F33+(2-$F33)*0.5)/6*2,(4+$F33)/6)) *
IF(ISNUMBER(SEARCH("Fusion",$L33)), _xlfn.IFS(AD$24-$I33 &lt;=1, 9/10, AD$24-$I33 &lt;=10,(11-(AD$24-$I33))/10, AD$24-$I33 &gt;=11, 0),
_xlfn.IFS(AD$24-$I33 &lt;=1, 5/6, AD$24-$I33 &lt;=5, (7-(AD$24-$I33))/6, AND(AD$24-$I33 =6,NOT(_xlfn.IFNA(ISNUMBER(SEARCH("Rending",$L33)),FALSE))), (7-(AD$24-$I33))/6, AND(AD$24-$I33 &gt;=7,NOT(_xlfn.IFNA(ISNUMBER(SEARCH("Rending",$L33)),FALSE))), 0, AD$24-$I33 =7, (7-(AD$24-1-$I33))/6, AD$24-$I33 =8, (7-(AD$24-2-$I33))/6*2/3, AD$24-$I33 =9, (7-(AD$24-3-$I33))/6*1/3, TRUE, 0)) *
IF(ISNUMBER(SEARCH("Ordinance",$L33)),7/6,1) *
IF(OR(ISNUMBER(SEARCH("Melee",$L33)),ISNUMBER(SEARCH("Bypass",$L33))),1.5,1)</f>
        <v>1.6666666666666667</v>
      </c>
      <c r="AE33" s="17" cm="1">
        <f t="array" ref="AE33">$H33 *
IF(ISNUMBER(SEARCH("Rapid",$L33)),7/6,1) *
IF(OR(ISNUMBER(SEARCH("Beam",$L33)),ISNUMBER(SEARCH("Firestorm",$L33))),1, IF(ISNUMBER(SEARCH("Blast",$L33)),(4+$F33+(2-$F33)*0.5)/6*2,(4+$F33)/6)) *
IF(ISNUMBER(SEARCH("Fusion",$L33)), _xlfn.IFS(AE$24-$I33 &lt;=1, 9/10, AE$24-$I33 &lt;=10,(11-(AE$24-$I33))/10, AE$24-$I33 &gt;=11, 0),
_xlfn.IFS(AE$24-$I33 &lt;=1, 5/6, AE$24-$I33 &lt;=5, (7-(AE$24-$I33))/6, AND(AE$24-$I33 =6,NOT(_xlfn.IFNA(ISNUMBER(SEARCH("Rending",$L33)),FALSE))), (7-(AE$24-$I33))/6, AND(AE$24-$I33 &gt;=7,NOT(_xlfn.IFNA(ISNUMBER(SEARCH("Rending",$L33)),FALSE))), 0, AE$24-$I33 =7, (7-(AE$24-1-$I33))/6, AE$24-$I33 =8, (7-(AE$24-2-$I33))/6*2/3, AE$24-$I33 =9, (7-(AE$24-3-$I33))/6*1/3, TRUE, 0)) *
IF(ISNUMBER(SEARCH("Ordinance",$L33)),7/6,1) *
IF(OR(ISNUMBER(SEARCH("Melee",$L33)),ISNUMBER(SEARCH("Bypass",$L33))),1.5,1)</f>
        <v>1.1111111111111112</v>
      </c>
      <c r="AF33" s="17" cm="1">
        <f t="array" ref="AF33">$H33 *
IF(ISNUMBER(SEARCH("Rapid",$L33)),7/6,1) *
IF(OR(ISNUMBER(SEARCH("Beam",$L33)),ISNUMBER(SEARCH("Firestorm",$L33))),1, IF(ISNUMBER(SEARCH("Blast",$L33)),(4+$F33+(2-$F33)*0.5)/6*2,(4+$F33)/6)) *
IF(ISNUMBER(SEARCH("Fusion",$L33)), _xlfn.IFS(AF$24-$I33 &lt;=1, 9/10, AF$24-$I33 &lt;=10,(11-(AF$24-$I33))/10, AF$24-$I33 &gt;=11, 0),
_xlfn.IFS(AF$24-$I33 &lt;=1, 5/6, AF$24-$I33 &lt;=5, (7-(AF$24-$I33))/6, AND(AF$24-$I33 =6,NOT(_xlfn.IFNA(ISNUMBER(SEARCH("Rending",$L33)),FALSE))), (7-(AF$24-$I33))/6, AND(AF$24-$I33 &gt;=7,NOT(_xlfn.IFNA(ISNUMBER(SEARCH("Rending",$L33)),FALSE))), 0, AF$24-$I33 =7, (7-(AF$24-1-$I33))/6, AF$24-$I33 =8, (7-(AF$24-2-$I33))/6*2/3, AF$24-$I33 =9, (7-(AF$24-3-$I33))/6*1/3, TRUE, 0)) *
IF(ISNUMBER(SEARCH("Ordinance",$L33)),7/6,1) *
IF(OR(ISNUMBER(SEARCH("Melee",$L33)),ISNUMBER(SEARCH("Bypass",$L33))),1.5,1)</f>
        <v>0.55555555555555558</v>
      </c>
      <c r="AG33" s="16">
        <f t="shared" si="3"/>
        <v>1.1111111111111112</v>
      </c>
      <c r="AH33" s="16">
        <f t="shared" si="4"/>
        <v>1.6666666666666667</v>
      </c>
      <c r="AI33" s="17" cm="1">
        <f t="array" ref="AI33">$H33 *
IF(ISNUMBER(SEARCH("Rapid",$L33)),7/6,1) *
IF(OR(ISNUMBER(SEARCH("Beam",$L33)),ISNUMBER(SEARCH("Firestorm",$L33))),1, IF(ISNUMBER(SEARCH("Blast",$L33)),(4+$G33+(2-$G33)*0.5)/6*2,(4+$G33)/6)) *
_xlfn.IFS(AI$24-$I33 &lt;=1, 5/6, AI$24-$I33 &lt;=5, (7-(AI$24-$I33))/6, AND(AI$24-$I33 =6,NOT(_xlfn.IFNA(ISNUMBER(SEARCH("Rending",$L33)),FALSE))), (7-(AI$24-$I33))/6, AND(AI$24-$I33 &gt;=7,NOT(_xlfn.IFNA(ISNUMBER(SEARCH("Rending",$L33)),FALSE))), 0, AI$24-$I33 =7, (7-(AI$24-1-$I33))/6, AI$24-$I33 =8, (7-(AI$24-2-$I33))/6*2/3, AI$24-$I33 =9, (7-(AI$24-3-$I33))/6*1/3, TRUE, 0) *
IF(ISNUMBER(SEARCH("Ordinance",$L33)),7/6,1) *
IF(OR(ISNUMBER(SEARCH("Melee",$L33)),ISNUMBER(SEARCH("Bypass",$L33))),1.5,1)</f>
        <v>2.7777777777777781</v>
      </c>
      <c r="AJ33" s="17" cm="1">
        <f t="array" ref="AJ33">$H33 *
IF(ISNUMBER(SEARCH("Rapid",$L33)),7/6,1) *
IF(OR(ISNUMBER(SEARCH("Beam",$L33)),ISNUMBER(SEARCH("Firestorm",$L33))),1, IF(ISNUMBER(SEARCH("Blast",$L33)),(4+$G33+(2-$G33)*0.5)/6*2,(4+$G33)/6)) *
_xlfn.IFS(AJ$24-$I33 &lt;=1, 5/6, AJ$24-$I33 &lt;=5, (7-(AJ$24-$I33))/6, AND(AJ$24-$I33 =6,NOT(_xlfn.IFNA(ISNUMBER(SEARCH("Rending",$L33)),FALSE))), (7-(AJ$24-$I33))/6, AND(AJ$24-$I33 &gt;=7,NOT(_xlfn.IFNA(ISNUMBER(SEARCH("Rending",$L33)),FALSE))), 0, AJ$24-$I33 =7, (7-(AJ$24-1-$I33))/6, AJ$24-$I33 =8, (7-(AJ$24-2-$I33))/6*2/3, AJ$24-$I33 =9, (7-(AJ$24-3-$I33))/6*1/3, TRUE, 0) *
IF(ISNUMBER(SEARCH("Ordinance",$L33)),7/6,1) *
IF(OR(ISNUMBER(SEARCH("Melee",$L33)),ISNUMBER(SEARCH("Bypass",$L33))),1.5,1)</f>
        <v>2.7777777777777781</v>
      </c>
      <c r="AK33" s="17" cm="1">
        <f t="array" ref="AK33">$H33 *
IF(ISNUMBER(SEARCH("Rapid",$L33)),7/6,1) *
IF(OR(ISNUMBER(SEARCH("Beam",$L33)),ISNUMBER(SEARCH("Firestorm",$L33))),1, IF(ISNUMBER(SEARCH("Blast",$L33)),(4+$G33+(2-$G33)*0.5)/6*2,(4+$G33)/6)) *
_xlfn.IFS(AK$24-$I33 &lt;=1, 5/6, AK$24-$I33 &lt;=5, (7-(AK$24-$I33))/6, AND(AK$24-$I33 =6,NOT(_xlfn.IFNA(ISNUMBER(SEARCH("Rending",$L33)),FALSE))), (7-(AK$24-$I33))/6, AND(AK$24-$I33 &gt;=7,NOT(_xlfn.IFNA(ISNUMBER(SEARCH("Rending",$L33)),FALSE))), 0, AK$24-$I33 =7, (7-(AK$24-1-$I33))/6, AK$24-$I33 =8, (7-(AK$24-2-$I33))/6*2/3, AK$24-$I33 =9, (7-(AK$24-3-$I33))/6*1/3, TRUE, 0) *
IF(ISNUMBER(SEARCH("Ordinance",$L33)),7/6,1) *
IF(OR(ISNUMBER(SEARCH("Melee",$L33)),ISNUMBER(SEARCH("Bypass",$L33))),1.5,1)</f>
        <v>2.7777777777777781</v>
      </c>
      <c r="AL33" s="17" cm="1">
        <f t="array" ref="AL33">$H33 *
IF(ISNUMBER(SEARCH("Rapid",$L33)),7/6,1) *
IF(OR(ISNUMBER(SEARCH("Beam",$L33)),ISNUMBER(SEARCH("Firestorm",$L33))),1, IF(ISNUMBER(SEARCH("Blast",$L33)),(4+$G33+(2-$G33)*0.5)/6*2,(4+$G33)/6)) *
_xlfn.IFS(AL$24-$I33 &lt;=1, 5/6, AL$24-$I33 &lt;=5, (7-(AL$24-$I33))/6, AND(AL$24-$I33 =6,NOT(_xlfn.IFNA(ISNUMBER(SEARCH("Rending",$L33)),FALSE))), (7-(AL$24-$I33))/6, AND(AL$24-$I33 &gt;=7,NOT(_xlfn.IFNA(ISNUMBER(SEARCH("Rending",$L33)),FALSE))), 0, AL$24-$I33 =7, (7-(AL$24-1-$I33))/6, AL$24-$I33 =8, (7-(AL$24-2-$I33))/6*2/3, AL$24-$I33 =9, (7-(AL$24-3-$I33))/6*1/3, TRUE, 0) *
IF(ISNUMBER(SEARCH("Ordinance",$L33)),7/6,1) *
IF(OR(ISNUMBER(SEARCH("Melee",$L33)),ISNUMBER(SEARCH("Bypass",$L33))),1.5,1)</f>
        <v>2.7777777777777781</v>
      </c>
      <c r="AM33" s="17" cm="1">
        <f t="array" ref="AM33">$H33 *
IF(ISNUMBER(SEARCH("Rapid",$L33)),7/6,1) *
IF(OR(ISNUMBER(SEARCH("Beam",$L33)),ISNUMBER(SEARCH("Firestorm",$L33))),1, IF(ISNUMBER(SEARCH("Blast",$L33)),(4+$G33+(2-$G33)*0.5)/6*2,(4+$G33)/6)) *
_xlfn.IFS(AM$24-$I33 &lt;=1, 5/6, AM$24-$I33 &lt;=5, (7-(AM$24-$I33))/6, AND(AM$24-$I33 =6,NOT(_xlfn.IFNA(ISNUMBER(SEARCH("Rending",$L33)),FALSE))), (7-(AM$24-$I33))/6, AND(AM$24-$I33 &gt;=7,NOT(_xlfn.IFNA(ISNUMBER(SEARCH("Rending",$L33)),FALSE))), 0, AM$24-$I33 =7, (7-(AM$24-1-$I33))/6, AM$24-$I33 =8, (7-(AM$24-2-$I33))/6*2/3, AM$24-$I33 =9, (7-(AM$24-3-$I33))/6*1/3, TRUE, 0) *
IF(ISNUMBER(SEARCH("Ordinance",$L33)),7/6,1) *
IF(OR(ISNUMBER(SEARCH("Melee",$L33)),ISNUMBER(SEARCH("Bypass",$L33))),1.5,1)</f>
        <v>2.7777777777777781</v>
      </c>
      <c r="AN33" s="17" cm="1">
        <f t="array" ref="AN33">$H33 *
IF(ISNUMBER(SEARCH("Rapid",$L33)),7/6,1) *
IF(OR(ISNUMBER(SEARCH("Beam",$L33)),ISNUMBER(SEARCH("Firestorm",$L33))),1, IF(ISNUMBER(SEARCH("Blast",$L33)),(4+$G33+(2-$G33)*0.5)/6*2,(4+$G33)/6)) *
_xlfn.IFS(AN$24-$I33 &lt;=1, 5/6, AN$24-$I33 &lt;=5, (7-(AN$24-$I33))/6, AND(AN$24-$I33 =6,NOT(_xlfn.IFNA(ISNUMBER(SEARCH("Rending",$L33)),FALSE))), (7-(AN$24-$I33))/6, AND(AN$24-$I33 &gt;=7,NOT(_xlfn.IFNA(ISNUMBER(SEARCH("Rending",$L33)),FALSE))), 0, AN$24-$I33 =7, (7-(AN$24-1-$I33))/6, AN$24-$I33 =8, (7-(AN$24-2-$I33))/6*2/3, AN$24-$I33 =9, (7-(AN$24-3-$I33))/6*1/3, TRUE, 0) *
IF(ISNUMBER(SEARCH("Ordinance",$L33)),7/6,1) *
IF(OR(ISNUMBER(SEARCH("Melee",$L33)),ISNUMBER(SEARCH("Bypass",$L33))),1.5,1)</f>
        <v>2.2222222222222223</v>
      </c>
      <c r="AO33" s="17" cm="1">
        <f t="array" ref="AO33">$H33 *
IF(ISNUMBER(SEARCH("Rapid",$L33)),7/6,1) *
IF(OR(ISNUMBER(SEARCH("Beam",$L33)),ISNUMBER(SEARCH("Firestorm",$L33))),1, IF(ISNUMBER(SEARCH("Blast",$L33)),(4+$G33+(2-$G33)*0.5)/6*2,(4+$G33)/6)) *
_xlfn.IFS(AO$24-$I33 &lt;=1, 5/6, AO$24-$I33 &lt;=5, (7-(AO$24-$I33))/6, AND(AO$24-$I33 =6,NOT(_xlfn.IFNA(ISNUMBER(SEARCH("Rending",$L33)),FALSE))), (7-(AO$24-$I33))/6, AND(AO$24-$I33 &gt;=7,NOT(_xlfn.IFNA(ISNUMBER(SEARCH("Rending",$L33)),FALSE))), 0, AO$24-$I33 =7, (7-(AO$24-1-$I33))/6, AO$24-$I33 =8, (7-(AO$24-2-$I33))/6*2/3, AO$24-$I33 =9, (7-(AO$24-3-$I33))/6*1/3, TRUE, 0) *
IF(ISNUMBER(SEARCH("Ordinance",$L33)),7/6,1) *
IF(OR(ISNUMBER(SEARCH("Melee",$L33)),ISNUMBER(SEARCH("Bypass",$L33))),1.5,1)</f>
        <v>1.6666666666666667</v>
      </c>
      <c r="AP33" s="17" cm="1">
        <f t="array" ref="AP33">$H33 *
IF(ISNUMBER(SEARCH("Rapid",$L33)),7/6,1) *
IF(OR(ISNUMBER(SEARCH("Beam",$L33)),ISNUMBER(SEARCH("Firestorm",$L33))),1, IF(ISNUMBER(SEARCH("Blast",$L33)),(4+$G33+(2-$G33)*0.5)/6*2,(4+$G33)/6)) *
_xlfn.IFS(AP$24-$I33 &lt;=1, 5/6, AP$24-$I33 &lt;=5, (7-(AP$24-$I33))/6, AND(AP$24-$I33 =6,NOT(_xlfn.IFNA(ISNUMBER(SEARCH("Rending",$L33)),FALSE))), (7-(AP$24-$I33))/6, AND(AP$24-$I33 &gt;=7,NOT(_xlfn.IFNA(ISNUMBER(SEARCH("Rending",$L33)),FALSE))), 0, AP$24-$I33 =7, (7-(AP$24-1-$I33))/6, AP$24-$I33 =8, (7-(AP$24-2-$I33))/6*2/3, AP$24-$I33 =9, (7-(AP$24-3-$I33))/6*1/3, TRUE, 0) *
IF(ISNUMBER(SEARCH("Ordinance",$L33)),7/6,1) *
IF(OR(ISNUMBER(SEARCH("Melee",$L33)),ISNUMBER(SEARCH("Bypass",$L33))),1.5,1)</f>
        <v>1.1111111111111112</v>
      </c>
      <c r="AQ33" s="17" cm="1">
        <f t="array" ref="AQ33">$H33 *
IF(ISNUMBER(SEARCH("Rapid",$L33)),7/6,1) *
IF(OR(ISNUMBER(SEARCH("Beam",$L33)),ISNUMBER(SEARCH("Firestorm",$L33))),1, IF(ISNUMBER(SEARCH("Blast",$L33)),(4+$G33+(2-$G33)*0.5)/6*2,(4+$G33)/6)) *
_xlfn.IFS(AQ$24-$I33 &lt;=1, 5/6, AQ$24-$I33 &lt;=5, (7-(AQ$24-$I33))/6, AND(AQ$24-$I33 =6,NOT(_xlfn.IFNA(ISNUMBER(SEARCH("Rending",$L33)),FALSE))), (7-(AQ$24-$I33))/6, AND(AQ$24-$I33 &gt;=7,NOT(_xlfn.IFNA(ISNUMBER(SEARCH("Rending",$L33)),FALSE))), 0, AQ$24-$I33 =7, (7-(AQ$24-1-$I33))/6, AQ$24-$I33 =8, (7-(AQ$24-2-$I33))/6*2/3, AQ$24-$I33 =9, (7-(AQ$24-3-$I33))/6*1/3, TRUE, 0) *
IF(ISNUMBER(SEARCH("Ordinance",$L33)),7/6,1) *
IF(OR(ISNUMBER(SEARCH("Melee",$L33)),ISNUMBER(SEARCH("Bypass",$L33))),1.5,1)</f>
        <v>0.55555555555555558</v>
      </c>
      <c r="AS33" s="16">
        <f t="shared" si="5"/>
        <v>1.1111111111111112</v>
      </c>
      <c r="AT33" s="16">
        <f t="shared" si="6"/>
        <v>1.6666666666666667</v>
      </c>
      <c r="AU33" s="16">
        <f t="shared" si="0"/>
        <v>1.4351851851851851</v>
      </c>
      <c r="AV33" s="2">
        <v>13</v>
      </c>
    </row>
    <row r="34" spans="1:48" x14ac:dyDescent="0.3">
      <c r="A34" t="s">
        <v>290</v>
      </c>
      <c r="B34" s="3">
        <v>8</v>
      </c>
      <c r="C34" s="3">
        <v>24</v>
      </c>
      <c r="D34" s="3">
        <v>1</v>
      </c>
      <c r="E34" s="3">
        <v>1</v>
      </c>
      <c r="F34" s="10">
        <v>0</v>
      </c>
      <c r="G34" s="10">
        <v>-1</v>
      </c>
      <c r="H34" s="3">
        <v>2</v>
      </c>
      <c r="I34" s="3">
        <v>7</v>
      </c>
      <c r="J34" s="3" t="s">
        <v>198</v>
      </c>
      <c r="K34" s="3">
        <v>50</v>
      </c>
      <c r="L34" s="3" t="s">
        <v>291</v>
      </c>
      <c r="M34" s="3" t="s">
        <v>199</v>
      </c>
      <c r="N34" s="3">
        <v>9</v>
      </c>
      <c r="O34" s="3">
        <v>9</v>
      </c>
      <c r="P34" s="3">
        <v>13</v>
      </c>
      <c r="Q34" s="3" t="s">
        <v>200</v>
      </c>
      <c r="R34" s="3">
        <v>7</v>
      </c>
      <c r="S34" s="3">
        <v>9</v>
      </c>
      <c r="T34" s="3">
        <v>5</v>
      </c>
      <c r="U34" t="s">
        <v>292</v>
      </c>
      <c r="V34" s="16">
        <f t="shared" si="1"/>
        <v>1.1111111111111112</v>
      </c>
      <c r="W34" s="16">
        <f t="shared" si="2"/>
        <v>1.6666666666666667</v>
      </c>
      <c r="X34" s="17" cm="1">
        <f t="array" ref="X34">$H34 *
IF(ISNUMBER(SEARCH("Rapid",$L34)),7/6,1) *
IF(OR(ISNUMBER(SEARCH("Beam",$L34)),ISNUMBER(SEARCH("Firestorm",$L34))),1, IF(ISNUMBER(SEARCH("Blast",$L34)),(4+$F34+(2-$F34)*0.5)/6*2,(4+$F34)/6)) *
IF(ISNUMBER(SEARCH("Fusion",$L34)), _xlfn.IFS(X$24-$I34 &lt;=1, 9/10, X$24-$I34 &lt;=10,(11-(X$24-$I34))/10, X$24-$I34 &gt;=11, 0),
_xlfn.IFS(X$24-$I34 &lt;=1, 5/6, X$24-$I34 &lt;=5, (7-(X$24-$I34))/6, AND(X$24-$I34 =6,NOT(_xlfn.IFNA(ISNUMBER(SEARCH("Rending",$L34)),FALSE))), (7-(X$24-$I34))/6, AND(X$24-$I34 &gt;=7,NOT(_xlfn.IFNA(ISNUMBER(SEARCH("Rending",$L34)),FALSE))), 0, X$24-$I34 =7, (7-(X$24-1-$I34))/6, X$24-$I34 =8, (7-(X$24-2-$I34))/6*2/3, X$24-$I34 =9, (7-(X$24-3-$I34))/6*1/3, TRUE, 0)) *
IF(ISNUMBER(SEARCH("Ordinance",$L34)),7/6,1) *
IF(OR(ISNUMBER(SEARCH("Melee",$L34)),ISNUMBER(SEARCH("Bypass",$L34))),1.5,1)</f>
        <v>2.7777777777777781</v>
      </c>
      <c r="Y34" s="17" cm="1">
        <f t="array" ref="Y34">$H34 *
IF(ISNUMBER(SEARCH("Rapid",$L34)),7/6,1) *
IF(OR(ISNUMBER(SEARCH("Beam",$L34)),ISNUMBER(SEARCH("Firestorm",$L34))),1, IF(ISNUMBER(SEARCH("Blast",$L34)),(4+$F34+(2-$F34)*0.5)/6*2,(4+$F34)/6)) *
IF(ISNUMBER(SEARCH("Fusion",$L34)), _xlfn.IFS(Y$24-$I34 &lt;=1, 9/10, Y$24-$I34 &lt;=10,(11-(Y$24-$I34))/10, Y$24-$I34 &gt;=11, 0),
_xlfn.IFS(Y$24-$I34 &lt;=1, 5/6, Y$24-$I34 &lt;=5, (7-(Y$24-$I34))/6, AND(Y$24-$I34 =6,NOT(_xlfn.IFNA(ISNUMBER(SEARCH("Rending",$L34)),FALSE))), (7-(Y$24-$I34))/6, AND(Y$24-$I34 &gt;=7,NOT(_xlfn.IFNA(ISNUMBER(SEARCH("Rending",$L34)),FALSE))), 0, Y$24-$I34 =7, (7-(Y$24-1-$I34))/6, Y$24-$I34 =8, (7-(Y$24-2-$I34))/6*2/3, Y$24-$I34 =9, (7-(Y$24-3-$I34))/6*1/3, TRUE, 0)) *
IF(ISNUMBER(SEARCH("Ordinance",$L34)),7/6,1) *
IF(OR(ISNUMBER(SEARCH("Melee",$L34)),ISNUMBER(SEARCH("Bypass",$L34))),1.5,1)</f>
        <v>2.2222222222222223</v>
      </c>
      <c r="Z34" s="17" cm="1">
        <f t="array" ref="Z34">$H34 *
IF(ISNUMBER(SEARCH("Rapid",$L34)),7/6,1) *
IF(OR(ISNUMBER(SEARCH("Beam",$L34)),ISNUMBER(SEARCH("Firestorm",$L34))),1, IF(ISNUMBER(SEARCH("Blast",$L34)),(4+$F34+(2-$F34)*0.5)/6*2,(4+$F34)/6)) *
IF(ISNUMBER(SEARCH("Fusion",$L34)), _xlfn.IFS(Z$24-$I34 &lt;=1, 9/10, Z$24-$I34 &lt;=10,(11-(Z$24-$I34))/10, Z$24-$I34 &gt;=11, 0),
_xlfn.IFS(Z$24-$I34 &lt;=1, 5/6, Z$24-$I34 &lt;=5, (7-(Z$24-$I34))/6, AND(Z$24-$I34 =6,NOT(_xlfn.IFNA(ISNUMBER(SEARCH("Rending",$L34)),FALSE))), (7-(Z$24-$I34))/6, AND(Z$24-$I34 &gt;=7,NOT(_xlfn.IFNA(ISNUMBER(SEARCH("Rending",$L34)),FALSE))), 0, Z$24-$I34 =7, (7-(Z$24-1-$I34))/6, Z$24-$I34 =8, (7-(Z$24-2-$I34))/6*2/3, Z$24-$I34 =9, (7-(Z$24-3-$I34))/6*1/3, TRUE, 0)) *
IF(ISNUMBER(SEARCH("Ordinance",$L34)),7/6,1) *
IF(OR(ISNUMBER(SEARCH("Melee",$L34)),ISNUMBER(SEARCH("Bypass",$L34))),1.5,1)</f>
        <v>1.6666666666666667</v>
      </c>
      <c r="AA34" s="17" cm="1">
        <f t="array" ref="AA34">$H34 *
IF(ISNUMBER(SEARCH("Rapid",$L34)),7/6,1) *
IF(OR(ISNUMBER(SEARCH("Beam",$L34)),ISNUMBER(SEARCH("Firestorm",$L34))),1, IF(ISNUMBER(SEARCH("Blast",$L34)),(4+$F34+(2-$F34)*0.5)/6*2,(4+$F34)/6)) *
IF(ISNUMBER(SEARCH("Fusion",$L34)), _xlfn.IFS(AA$24-$I34 &lt;=1, 9/10, AA$24-$I34 &lt;=10,(11-(AA$24-$I34))/10, AA$24-$I34 &gt;=11, 0),
_xlfn.IFS(AA$24-$I34 &lt;=1, 5/6, AA$24-$I34 &lt;=5, (7-(AA$24-$I34))/6, AND(AA$24-$I34 =6,NOT(_xlfn.IFNA(ISNUMBER(SEARCH("Rending",$L34)),FALSE))), (7-(AA$24-$I34))/6, AND(AA$24-$I34 &gt;=7,NOT(_xlfn.IFNA(ISNUMBER(SEARCH("Rending",$L34)),FALSE))), 0, AA$24-$I34 =7, (7-(AA$24-1-$I34))/6, AA$24-$I34 =8, (7-(AA$24-2-$I34))/6*2/3, AA$24-$I34 =9, (7-(AA$24-3-$I34))/6*1/3, TRUE, 0)) *
IF(ISNUMBER(SEARCH("Ordinance",$L34)),7/6,1) *
IF(OR(ISNUMBER(SEARCH("Melee",$L34)),ISNUMBER(SEARCH("Bypass",$L34))),1.5,1)</f>
        <v>1.1111111111111112</v>
      </c>
      <c r="AB34" s="17" cm="1">
        <f t="array" ref="AB34">$H34 *
IF(ISNUMBER(SEARCH("Rapid",$L34)),7/6,1) *
IF(OR(ISNUMBER(SEARCH("Beam",$L34)),ISNUMBER(SEARCH("Firestorm",$L34))),1, IF(ISNUMBER(SEARCH("Blast",$L34)),(4+$F34+(2-$F34)*0.5)/6*2,(4+$F34)/6)) *
IF(ISNUMBER(SEARCH("Fusion",$L34)), _xlfn.IFS(AB$24-$I34 &lt;=1, 9/10, AB$24-$I34 &lt;=10,(11-(AB$24-$I34))/10, AB$24-$I34 &gt;=11, 0),
_xlfn.IFS(AB$24-$I34 &lt;=1, 5/6, AB$24-$I34 &lt;=5, (7-(AB$24-$I34))/6, AND(AB$24-$I34 =6,NOT(_xlfn.IFNA(ISNUMBER(SEARCH("Rending",$L34)),FALSE))), (7-(AB$24-$I34))/6, AND(AB$24-$I34 &gt;=7,NOT(_xlfn.IFNA(ISNUMBER(SEARCH("Rending",$L34)),FALSE))), 0, AB$24-$I34 =7, (7-(AB$24-1-$I34))/6, AB$24-$I34 =8, (7-(AB$24-2-$I34))/6*2/3, AB$24-$I34 =9, (7-(AB$24-3-$I34))/6*1/3, TRUE, 0)) *
IF(ISNUMBER(SEARCH("Ordinance",$L34)),7/6,1) *
IF(OR(ISNUMBER(SEARCH("Melee",$L34)),ISNUMBER(SEARCH("Bypass",$L34))),1.5,1)</f>
        <v>0.55555555555555558</v>
      </c>
      <c r="AC34" s="17" cm="1">
        <f t="array" ref="AC34">$H34 *
IF(ISNUMBER(SEARCH("Rapid",$L34)),7/6,1) *
IF(OR(ISNUMBER(SEARCH("Beam",$L34)),ISNUMBER(SEARCH("Firestorm",$L34))),1, IF(ISNUMBER(SEARCH("Blast",$L34)),(4+$F34+(2-$F34)*0.5)/6*2,(4+$F34)/6)) *
IF(ISNUMBER(SEARCH("Fusion",$L34)), _xlfn.IFS(AC$24-$I34 &lt;=1, 9/10, AC$24-$I34 &lt;=10,(11-(AC$24-$I34))/10, AC$24-$I34 &gt;=11, 0),
_xlfn.IFS(AC$24-$I34 &lt;=1, 5/6, AC$24-$I34 &lt;=5, (7-(AC$24-$I34))/6, AND(AC$24-$I34 =6,NOT(_xlfn.IFNA(ISNUMBER(SEARCH("Rending",$L34)),FALSE))), (7-(AC$24-$I34))/6, AND(AC$24-$I34 &gt;=7,NOT(_xlfn.IFNA(ISNUMBER(SEARCH("Rending",$L34)),FALSE))), 0, AC$24-$I34 =7, (7-(AC$24-1-$I34))/6, AC$24-$I34 =8, (7-(AC$24-2-$I34))/6*2/3, AC$24-$I34 =9, (7-(AC$24-3-$I34))/6*1/3, TRUE, 0)) *
IF(ISNUMBER(SEARCH("Ordinance",$L34)),7/6,1) *
IF(OR(ISNUMBER(SEARCH("Melee",$L34)),ISNUMBER(SEARCH("Bypass",$L34))),1.5,1)</f>
        <v>0</v>
      </c>
      <c r="AD34" s="17" cm="1">
        <f t="array" ref="AD34">$H34 *
IF(ISNUMBER(SEARCH("Rapid",$L34)),7/6,1) *
IF(OR(ISNUMBER(SEARCH("Beam",$L34)),ISNUMBER(SEARCH("Firestorm",$L34))),1, IF(ISNUMBER(SEARCH("Blast",$L34)),(4+$F34+(2-$F34)*0.5)/6*2,(4+$F34)/6)) *
IF(ISNUMBER(SEARCH("Fusion",$L34)), _xlfn.IFS(AD$24-$I34 &lt;=1, 9/10, AD$24-$I34 &lt;=10,(11-(AD$24-$I34))/10, AD$24-$I34 &gt;=11, 0),
_xlfn.IFS(AD$24-$I34 &lt;=1, 5/6, AD$24-$I34 &lt;=5, (7-(AD$24-$I34))/6, AND(AD$24-$I34 =6,NOT(_xlfn.IFNA(ISNUMBER(SEARCH("Rending",$L34)),FALSE))), (7-(AD$24-$I34))/6, AND(AD$24-$I34 &gt;=7,NOT(_xlfn.IFNA(ISNUMBER(SEARCH("Rending",$L34)),FALSE))), 0, AD$24-$I34 =7, (7-(AD$24-1-$I34))/6, AD$24-$I34 =8, (7-(AD$24-2-$I34))/6*2/3, AD$24-$I34 =9, (7-(AD$24-3-$I34))/6*1/3, TRUE, 0)) *
IF(ISNUMBER(SEARCH("Ordinance",$L34)),7/6,1) *
IF(OR(ISNUMBER(SEARCH("Melee",$L34)),ISNUMBER(SEARCH("Bypass",$L34))),1.5,1)</f>
        <v>0</v>
      </c>
      <c r="AE34" s="17" cm="1">
        <f t="array" ref="AE34">$H34 *
IF(ISNUMBER(SEARCH("Rapid",$L34)),7/6,1) *
IF(OR(ISNUMBER(SEARCH("Beam",$L34)),ISNUMBER(SEARCH("Firestorm",$L34))),1, IF(ISNUMBER(SEARCH("Blast",$L34)),(4+$F34+(2-$F34)*0.5)/6*2,(4+$F34)/6)) *
IF(ISNUMBER(SEARCH("Fusion",$L34)), _xlfn.IFS(AE$24-$I34 &lt;=1, 9/10, AE$24-$I34 &lt;=10,(11-(AE$24-$I34))/10, AE$24-$I34 &gt;=11, 0),
_xlfn.IFS(AE$24-$I34 &lt;=1, 5/6, AE$24-$I34 &lt;=5, (7-(AE$24-$I34))/6, AND(AE$24-$I34 =6,NOT(_xlfn.IFNA(ISNUMBER(SEARCH("Rending",$L34)),FALSE))), (7-(AE$24-$I34))/6, AND(AE$24-$I34 &gt;=7,NOT(_xlfn.IFNA(ISNUMBER(SEARCH("Rending",$L34)),FALSE))), 0, AE$24-$I34 =7, (7-(AE$24-1-$I34))/6, AE$24-$I34 =8, (7-(AE$24-2-$I34))/6*2/3, AE$24-$I34 =9, (7-(AE$24-3-$I34))/6*1/3, TRUE, 0)) *
IF(ISNUMBER(SEARCH("Ordinance",$L34)),7/6,1) *
IF(OR(ISNUMBER(SEARCH("Melee",$L34)),ISNUMBER(SEARCH("Bypass",$L34))),1.5,1)</f>
        <v>0</v>
      </c>
      <c r="AF34" s="17" cm="1">
        <f t="array" ref="AF34">$H34 *
IF(ISNUMBER(SEARCH("Rapid",$L34)),7/6,1) *
IF(OR(ISNUMBER(SEARCH("Beam",$L34)),ISNUMBER(SEARCH("Firestorm",$L34))),1, IF(ISNUMBER(SEARCH("Blast",$L34)),(4+$F34+(2-$F34)*0.5)/6*2,(4+$F34)/6)) *
IF(ISNUMBER(SEARCH("Fusion",$L34)), _xlfn.IFS(AF$24-$I34 &lt;=1, 9/10, AF$24-$I34 &lt;=10,(11-(AF$24-$I34))/10, AF$24-$I34 &gt;=11, 0),
_xlfn.IFS(AF$24-$I34 &lt;=1, 5/6, AF$24-$I34 &lt;=5, (7-(AF$24-$I34))/6, AND(AF$24-$I34 =6,NOT(_xlfn.IFNA(ISNUMBER(SEARCH("Rending",$L34)),FALSE))), (7-(AF$24-$I34))/6, AND(AF$24-$I34 &gt;=7,NOT(_xlfn.IFNA(ISNUMBER(SEARCH("Rending",$L34)),FALSE))), 0, AF$24-$I34 =7, (7-(AF$24-1-$I34))/6, AF$24-$I34 =8, (7-(AF$24-2-$I34))/6*2/3, AF$24-$I34 =9, (7-(AF$24-3-$I34))/6*1/3, TRUE, 0)) *
IF(ISNUMBER(SEARCH("Ordinance",$L34)),7/6,1) *
IF(OR(ISNUMBER(SEARCH("Melee",$L34)),ISNUMBER(SEARCH("Bypass",$L34))),1.5,1)</f>
        <v>0</v>
      </c>
      <c r="AG34" s="16">
        <f t="shared" si="3"/>
        <v>1</v>
      </c>
      <c r="AH34" s="16">
        <f t="shared" si="4"/>
        <v>1.5</v>
      </c>
      <c r="AI34" s="17" cm="1">
        <f t="array" ref="AI34">$H34 *
IF(ISNUMBER(SEARCH("Rapid",$L34)),7/6,1) *
IF(OR(ISNUMBER(SEARCH("Beam",$L34)),ISNUMBER(SEARCH("Firestorm",$L34))),1, IF(ISNUMBER(SEARCH("Blast",$L34)),(4+$G34+(2-$G34)*0.5)/6*2,(4+$G34)/6)) *
_xlfn.IFS(AI$24-$I34 &lt;=1, 5/6, AI$24-$I34 &lt;=5, (7-(AI$24-$I34))/6, AND(AI$24-$I34 =6,NOT(_xlfn.IFNA(ISNUMBER(SEARCH("Rending",$L34)),FALSE))), (7-(AI$24-$I34))/6, AND(AI$24-$I34 &gt;=7,NOT(_xlfn.IFNA(ISNUMBER(SEARCH("Rending",$L34)),FALSE))), 0, AI$24-$I34 =7, (7-(AI$24-1-$I34))/6, AI$24-$I34 =8, (7-(AI$24-2-$I34))/6*2/3, AI$24-$I34 =9, (7-(AI$24-3-$I34))/6*1/3, TRUE, 0) *
IF(ISNUMBER(SEARCH("Ordinance",$L34)),7/6,1) *
IF(OR(ISNUMBER(SEARCH("Melee",$L34)),ISNUMBER(SEARCH("Bypass",$L34))),1.5,1)</f>
        <v>2.5</v>
      </c>
      <c r="AJ34" s="17" cm="1">
        <f t="array" ref="AJ34">$H34 *
IF(ISNUMBER(SEARCH("Rapid",$L34)),7/6,1) *
IF(OR(ISNUMBER(SEARCH("Beam",$L34)),ISNUMBER(SEARCH("Firestorm",$L34))),1, IF(ISNUMBER(SEARCH("Blast",$L34)),(4+$G34+(2-$G34)*0.5)/6*2,(4+$G34)/6)) *
_xlfn.IFS(AJ$24-$I34 &lt;=1, 5/6, AJ$24-$I34 &lt;=5, (7-(AJ$24-$I34))/6, AND(AJ$24-$I34 =6,NOT(_xlfn.IFNA(ISNUMBER(SEARCH("Rending",$L34)),FALSE))), (7-(AJ$24-$I34))/6, AND(AJ$24-$I34 &gt;=7,NOT(_xlfn.IFNA(ISNUMBER(SEARCH("Rending",$L34)),FALSE))), 0, AJ$24-$I34 =7, (7-(AJ$24-1-$I34))/6, AJ$24-$I34 =8, (7-(AJ$24-2-$I34))/6*2/3, AJ$24-$I34 =9, (7-(AJ$24-3-$I34))/6*1/3, TRUE, 0) *
IF(ISNUMBER(SEARCH("Ordinance",$L34)),7/6,1) *
IF(OR(ISNUMBER(SEARCH("Melee",$L34)),ISNUMBER(SEARCH("Bypass",$L34))),1.5,1)</f>
        <v>2</v>
      </c>
      <c r="AK34" s="17" cm="1">
        <f t="array" ref="AK34">$H34 *
IF(ISNUMBER(SEARCH("Rapid",$L34)),7/6,1) *
IF(OR(ISNUMBER(SEARCH("Beam",$L34)),ISNUMBER(SEARCH("Firestorm",$L34))),1, IF(ISNUMBER(SEARCH("Blast",$L34)),(4+$G34+(2-$G34)*0.5)/6*2,(4+$G34)/6)) *
_xlfn.IFS(AK$24-$I34 &lt;=1, 5/6, AK$24-$I34 &lt;=5, (7-(AK$24-$I34))/6, AND(AK$24-$I34 =6,NOT(_xlfn.IFNA(ISNUMBER(SEARCH("Rending",$L34)),FALSE))), (7-(AK$24-$I34))/6, AND(AK$24-$I34 &gt;=7,NOT(_xlfn.IFNA(ISNUMBER(SEARCH("Rending",$L34)),FALSE))), 0, AK$24-$I34 =7, (7-(AK$24-1-$I34))/6, AK$24-$I34 =8, (7-(AK$24-2-$I34))/6*2/3, AK$24-$I34 =9, (7-(AK$24-3-$I34))/6*1/3, TRUE, 0) *
IF(ISNUMBER(SEARCH("Ordinance",$L34)),7/6,1) *
IF(OR(ISNUMBER(SEARCH("Melee",$L34)),ISNUMBER(SEARCH("Bypass",$L34))),1.5,1)</f>
        <v>1.5</v>
      </c>
      <c r="AL34" s="17" cm="1">
        <f t="array" ref="AL34">$H34 *
IF(ISNUMBER(SEARCH("Rapid",$L34)),7/6,1) *
IF(OR(ISNUMBER(SEARCH("Beam",$L34)),ISNUMBER(SEARCH("Firestorm",$L34))),1, IF(ISNUMBER(SEARCH("Blast",$L34)),(4+$G34+(2-$G34)*0.5)/6*2,(4+$G34)/6)) *
_xlfn.IFS(AL$24-$I34 &lt;=1, 5/6, AL$24-$I34 &lt;=5, (7-(AL$24-$I34))/6, AND(AL$24-$I34 =6,NOT(_xlfn.IFNA(ISNUMBER(SEARCH("Rending",$L34)),FALSE))), (7-(AL$24-$I34))/6, AND(AL$24-$I34 &gt;=7,NOT(_xlfn.IFNA(ISNUMBER(SEARCH("Rending",$L34)),FALSE))), 0, AL$24-$I34 =7, (7-(AL$24-1-$I34))/6, AL$24-$I34 =8, (7-(AL$24-2-$I34))/6*2/3, AL$24-$I34 =9, (7-(AL$24-3-$I34))/6*1/3, TRUE, 0) *
IF(ISNUMBER(SEARCH("Ordinance",$L34)),7/6,1) *
IF(OR(ISNUMBER(SEARCH("Melee",$L34)),ISNUMBER(SEARCH("Bypass",$L34))),1.5,1)</f>
        <v>1</v>
      </c>
      <c r="AM34" s="17" cm="1">
        <f t="array" ref="AM34">$H34 *
IF(ISNUMBER(SEARCH("Rapid",$L34)),7/6,1) *
IF(OR(ISNUMBER(SEARCH("Beam",$L34)),ISNUMBER(SEARCH("Firestorm",$L34))),1, IF(ISNUMBER(SEARCH("Blast",$L34)),(4+$G34+(2-$G34)*0.5)/6*2,(4+$G34)/6)) *
_xlfn.IFS(AM$24-$I34 &lt;=1, 5/6, AM$24-$I34 &lt;=5, (7-(AM$24-$I34))/6, AND(AM$24-$I34 =6,NOT(_xlfn.IFNA(ISNUMBER(SEARCH("Rending",$L34)),FALSE))), (7-(AM$24-$I34))/6, AND(AM$24-$I34 &gt;=7,NOT(_xlfn.IFNA(ISNUMBER(SEARCH("Rending",$L34)),FALSE))), 0, AM$24-$I34 =7, (7-(AM$24-1-$I34))/6, AM$24-$I34 =8, (7-(AM$24-2-$I34))/6*2/3, AM$24-$I34 =9, (7-(AM$24-3-$I34))/6*1/3, TRUE, 0) *
IF(ISNUMBER(SEARCH("Ordinance",$L34)),7/6,1) *
IF(OR(ISNUMBER(SEARCH("Melee",$L34)),ISNUMBER(SEARCH("Bypass",$L34))),1.5,1)</f>
        <v>0.5</v>
      </c>
      <c r="AN34" s="17" cm="1">
        <f t="array" ref="AN34">$H34 *
IF(ISNUMBER(SEARCH("Rapid",$L34)),7/6,1) *
IF(OR(ISNUMBER(SEARCH("Beam",$L34)),ISNUMBER(SEARCH("Firestorm",$L34))),1, IF(ISNUMBER(SEARCH("Blast",$L34)),(4+$G34+(2-$G34)*0.5)/6*2,(4+$G34)/6)) *
_xlfn.IFS(AN$24-$I34 &lt;=1, 5/6, AN$24-$I34 &lt;=5, (7-(AN$24-$I34))/6, AND(AN$24-$I34 =6,NOT(_xlfn.IFNA(ISNUMBER(SEARCH("Rending",$L34)),FALSE))), (7-(AN$24-$I34))/6, AND(AN$24-$I34 &gt;=7,NOT(_xlfn.IFNA(ISNUMBER(SEARCH("Rending",$L34)),FALSE))), 0, AN$24-$I34 =7, (7-(AN$24-1-$I34))/6, AN$24-$I34 =8, (7-(AN$24-2-$I34))/6*2/3, AN$24-$I34 =9, (7-(AN$24-3-$I34))/6*1/3, TRUE, 0) *
IF(ISNUMBER(SEARCH("Ordinance",$L34)),7/6,1) *
IF(OR(ISNUMBER(SEARCH("Melee",$L34)),ISNUMBER(SEARCH("Bypass",$L34))),1.5,1)</f>
        <v>0</v>
      </c>
      <c r="AO34" s="17" cm="1">
        <f t="array" ref="AO34">$H34 *
IF(ISNUMBER(SEARCH("Rapid",$L34)),7/6,1) *
IF(OR(ISNUMBER(SEARCH("Beam",$L34)),ISNUMBER(SEARCH("Firestorm",$L34))),1, IF(ISNUMBER(SEARCH("Blast",$L34)),(4+$G34+(2-$G34)*0.5)/6*2,(4+$G34)/6)) *
_xlfn.IFS(AO$24-$I34 &lt;=1, 5/6, AO$24-$I34 &lt;=5, (7-(AO$24-$I34))/6, AND(AO$24-$I34 =6,NOT(_xlfn.IFNA(ISNUMBER(SEARCH("Rending",$L34)),FALSE))), (7-(AO$24-$I34))/6, AND(AO$24-$I34 &gt;=7,NOT(_xlfn.IFNA(ISNUMBER(SEARCH("Rending",$L34)),FALSE))), 0, AO$24-$I34 =7, (7-(AO$24-1-$I34))/6, AO$24-$I34 =8, (7-(AO$24-2-$I34))/6*2/3, AO$24-$I34 =9, (7-(AO$24-3-$I34))/6*1/3, TRUE, 0) *
IF(ISNUMBER(SEARCH("Ordinance",$L34)),7/6,1) *
IF(OR(ISNUMBER(SEARCH("Melee",$L34)),ISNUMBER(SEARCH("Bypass",$L34))),1.5,1)</f>
        <v>0</v>
      </c>
      <c r="AP34" s="17" cm="1">
        <f t="array" ref="AP34">$H34 *
IF(ISNUMBER(SEARCH("Rapid",$L34)),7/6,1) *
IF(OR(ISNUMBER(SEARCH("Beam",$L34)),ISNUMBER(SEARCH("Firestorm",$L34))),1, IF(ISNUMBER(SEARCH("Blast",$L34)),(4+$G34+(2-$G34)*0.5)/6*2,(4+$G34)/6)) *
_xlfn.IFS(AP$24-$I34 &lt;=1, 5/6, AP$24-$I34 &lt;=5, (7-(AP$24-$I34))/6, AND(AP$24-$I34 =6,NOT(_xlfn.IFNA(ISNUMBER(SEARCH("Rending",$L34)),FALSE))), (7-(AP$24-$I34))/6, AND(AP$24-$I34 &gt;=7,NOT(_xlfn.IFNA(ISNUMBER(SEARCH("Rending",$L34)),FALSE))), 0, AP$24-$I34 =7, (7-(AP$24-1-$I34))/6, AP$24-$I34 =8, (7-(AP$24-2-$I34))/6*2/3, AP$24-$I34 =9, (7-(AP$24-3-$I34))/6*1/3, TRUE, 0) *
IF(ISNUMBER(SEARCH("Ordinance",$L34)),7/6,1) *
IF(OR(ISNUMBER(SEARCH("Melee",$L34)),ISNUMBER(SEARCH("Bypass",$L34))),1.5,1)</f>
        <v>0</v>
      </c>
      <c r="AQ34" s="17" cm="1">
        <f t="array" ref="AQ34">$H34 *
IF(ISNUMBER(SEARCH("Rapid",$L34)),7/6,1) *
IF(OR(ISNUMBER(SEARCH("Beam",$L34)),ISNUMBER(SEARCH("Firestorm",$L34))),1, IF(ISNUMBER(SEARCH("Blast",$L34)),(4+$G34+(2-$G34)*0.5)/6*2,(4+$G34)/6)) *
_xlfn.IFS(AQ$24-$I34 &lt;=1, 5/6, AQ$24-$I34 &lt;=5, (7-(AQ$24-$I34))/6, AND(AQ$24-$I34 =6,NOT(_xlfn.IFNA(ISNUMBER(SEARCH("Rending",$L34)),FALSE))), (7-(AQ$24-$I34))/6, AND(AQ$24-$I34 &gt;=7,NOT(_xlfn.IFNA(ISNUMBER(SEARCH("Rending",$L34)),FALSE))), 0, AQ$24-$I34 =7, (7-(AQ$24-1-$I34))/6, AQ$24-$I34 =8, (7-(AQ$24-2-$I34))/6*2/3, AQ$24-$I34 =9, (7-(AQ$24-3-$I34))/6*1/3, TRUE, 0) *
IF(ISNUMBER(SEARCH("Ordinance",$L34)),7/6,1) *
IF(OR(ISNUMBER(SEARCH("Melee",$L34)),ISNUMBER(SEARCH("Bypass",$L34))),1.5,1)</f>
        <v>0</v>
      </c>
      <c r="AS34" s="16">
        <f t="shared" si="5"/>
        <v>1</v>
      </c>
      <c r="AT34" s="16">
        <f t="shared" si="6"/>
        <v>1.5</v>
      </c>
      <c r="AU34" s="16">
        <f t="shared" si="0"/>
        <v>1.3564814814814816</v>
      </c>
      <c r="AV34" s="2">
        <v>9</v>
      </c>
    </row>
    <row r="35" spans="1:48" x14ac:dyDescent="0.3">
      <c r="A35" t="s">
        <v>293</v>
      </c>
      <c r="B35" s="3">
        <v>8</v>
      </c>
      <c r="C35" s="3">
        <v>24</v>
      </c>
      <c r="D35" s="3">
        <v>1</v>
      </c>
      <c r="E35" s="3">
        <v>1</v>
      </c>
      <c r="F35" s="10">
        <v>0</v>
      </c>
      <c r="G35" s="10">
        <v>-1</v>
      </c>
      <c r="H35" s="3">
        <v>2</v>
      </c>
      <c r="I35" s="3">
        <v>9</v>
      </c>
      <c r="J35" s="3" t="s">
        <v>198</v>
      </c>
      <c r="K35" s="3">
        <v>50</v>
      </c>
      <c r="L35" s="3" t="s">
        <v>294</v>
      </c>
      <c r="M35" s="3" t="s">
        <v>199</v>
      </c>
      <c r="N35" s="3">
        <v>9</v>
      </c>
      <c r="O35" s="3">
        <v>9</v>
      </c>
      <c r="P35" s="3">
        <v>13</v>
      </c>
      <c r="Q35" s="3" t="s">
        <v>200</v>
      </c>
      <c r="R35" s="3">
        <v>7</v>
      </c>
      <c r="S35" s="3">
        <v>9</v>
      </c>
      <c r="T35" s="3">
        <v>5</v>
      </c>
      <c r="V35" s="16">
        <f t="shared" si="1"/>
        <v>1.1111111111111112</v>
      </c>
      <c r="W35" s="16">
        <f t="shared" si="2"/>
        <v>1.6666666666666667</v>
      </c>
      <c r="X35" s="17" cm="1">
        <f t="array" ref="X35">$H35 *
IF(ISNUMBER(SEARCH("Rapid",$L35)),7/6,1) *
IF(OR(ISNUMBER(SEARCH("Beam",$L35)),ISNUMBER(SEARCH("Firestorm",$L35))),1, IF(ISNUMBER(SEARCH("Blast",$L35)),(4+$F35+(2-$F35)*0.5)/6*2,(4+$F35)/6)) *
IF(ISNUMBER(SEARCH("Fusion",$L35)), _xlfn.IFS(X$24-$I35 &lt;=1, 9/10, X$24-$I35 &lt;=10,(11-(X$24-$I35))/10, X$24-$I35 &gt;=11, 0),
_xlfn.IFS(X$24-$I35 &lt;=1, 5/6, X$24-$I35 &lt;=5, (7-(X$24-$I35))/6, AND(X$24-$I35 =6,NOT(_xlfn.IFNA(ISNUMBER(SEARCH("Rending",$L35)),FALSE))), (7-(X$24-$I35))/6, AND(X$24-$I35 &gt;=7,NOT(_xlfn.IFNA(ISNUMBER(SEARCH("Rending",$L35)),FALSE))), 0, X$24-$I35 =7, (7-(X$24-1-$I35))/6, X$24-$I35 =8, (7-(X$24-2-$I35))/6*2/3, X$24-$I35 =9, (7-(X$24-3-$I35))/6*1/3, TRUE, 0)) *
IF(ISNUMBER(SEARCH("Ordinance",$L35)),7/6,1) *
IF(OR(ISNUMBER(SEARCH("Melee",$L35)),ISNUMBER(SEARCH("Bypass",$L35))),1.5,1)</f>
        <v>2.7777777777777781</v>
      </c>
      <c r="Y35" s="17" cm="1">
        <f t="array" ref="Y35">$H35 *
IF(ISNUMBER(SEARCH("Rapid",$L35)),7/6,1) *
IF(OR(ISNUMBER(SEARCH("Beam",$L35)),ISNUMBER(SEARCH("Firestorm",$L35))),1, IF(ISNUMBER(SEARCH("Blast",$L35)),(4+$F35+(2-$F35)*0.5)/6*2,(4+$F35)/6)) *
IF(ISNUMBER(SEARCH("Fusion",$L35)), _xlfn.IFS(Y$24-$I35 &lt;=1, 9/10, Y$24-$I35 &lt;=10,(11-(Y$24-$I35))/10, Y$24-$I35 &gt;=11, 0),
_xlfn.IFS(Y$24-$I35 &lt;=1, 5/6, Y$24-$I35 &lt;=5, (7-(Y$24-$I35))/6, AND(Y$24-$I35 =6,NOT(_xlfn.IFNA(ISNUMBER(SEARCH("Rending",$L35)),FALSE))), (7-(Y$24-$I35))/6, AND(Y$24-$I35 &gt;=7,NOT(_xlfn.IFNA(ISNUMBER(SEARCH("Rending",$L35)),FALSE))), 0, Y$24-$I35 =7, (7-(Y$24-1-$I35))/6, Y$24-$I35 =8, (7-(Y$24-2-$I35))/6*2/3, Y$24-$I35 =9, (7-(Y$24-3-$I35))/6*1/3, TRUE, 0)) *
IF(ISNUMBER(SEARCH("Ordinance",$L35)),7/6,1) *
IF(OR(ISNUMBER(SEARCH("Melee",$L35)),ISNUMBER(SEARCH("Bypass",$L35))),1.5,1)</f>
        <v>2.7777777777777781</v>
      </c>
      <c r="Z35" s="17" cm="1">
        <f t="array" ref="Z35">$H35 *
IF(ISNUMBER(SEARCH("Rapid",$L35)),7/6,1) *
IF(OR(ISNUMBER(SEARCH("Beam",$L35)),ISNUMBER(SEARCH("Firestorm",$L35))),1, IF(ISNUMBER(SEARCH("Blast",$L35)),(4+$F35+(2-$F35)*0.5)/6*2,(4+$F35)/6)) *
IF(ISNUMBER(SEARCH("Fusion",$L35)), _xlfn.IFS(Z$24-$I35 &lt;=1, 9/10, Z$24-$I35 &lt;=10,(11-(Z$24-$I35))/10, Z$24-$I35 &gt;=11, 0),
_xlfn.IFS(Z$24-$I35 &lt;=1, 5/6, Z$24-$I35 &lt;=5, (7-(Z$24-$I35))/6, AND(Z$24-$I35 =6,NOT(_xlfn.IFNA(ISNUMBER(SEARCH("Rending",$L35)),FALSE))), (7-(Z$24-$I35))/6, AND(Z$24-$I35 &gt;=7,NOT(_xlfn.IFNA(ISNUMBER(SEARCH("Rending",$L35)),FALSE))), 0, Z$24-$I35 =7, (7-(Z$24-1-$I35))/6, Z$24-$I35 =8, (7-(Z$24-2-$I35))/6*2/3, Z$24-$I35 =9, (7-(Z$24-3-$I35))/6*1/3, TRUE, 0)) *
IF(ISNUMBER(SEARCH("Ordinance",$L35)),7/6,1) *
IF(OR(ISNUMBER(SEARCH("Melee",$L35)),ISNUMBER(SEARCH("Bypass",$L35))),1.5,1)</f>
        <v>2.7777777777777781</v>
      </c>
      <c r="AA35" s="17" cm="1">
        <f t="array" ref="AA35">$H35 *
IF(ISNUMBER(SEARCH("Rapid",$L35)),7/6,1) *
IF(OR(ISNUMBER(SEARCH("Beam",$L35)),ISNUMBER(SEARCH("Firestorm",$L35))),1, IF(ISNUMBER(SEARCH("Blast",$L35)),(4+$F35+(2-$F35)*0.5)/6*2,(4+$F35)/6)) *
IF(ISNUMBER(SEARCH("Fusion",$L35)), _xlfn.IFS(AA$24-$I35 &lt;=1, 9/10, AA$24-$I35 &lt;=10,(11-(AA$24-$I35))/10, AA$24-$I35 &gt;=11, 0),
_xlfn.IFS(AA$24-$I35 &lt;=1, 5/6, AA$24-$I35 &lt;=5, (7-(AA$24-$I35))/6, AND(AA$24-$I35 =6,NOT(_xlfn.IFNA(ISNUMBER(SEARCH("Rending",$L35)),FALSE))), (7-(AA$24-$I35))/6, AND(AA$24-$I35 &gt;=7,NOT(_xlfn.IFNA(ISNUMBER(SEARCH("Rending",$L35)),FALSE))), 0, AA$24-$I35 =7, (7-(AA$24-1-$I35))/6, AA$24-$I35 =8, (7-(AA$24-2-$I35))/6*2/3, AA$24-$I35 =9, (7-(AA$24-3-$I35))/6*1/3, TRUE, 0)) *
IF(ISNUMBER(SEARCH("Ordinance",$L35)),7/6,1) *
IF(OR(ISNUMBER(SEARCH("Melee",$L35)),ISNUMBER(SEARCH("Bypass",$L35))),1.5,1)</f>
        <v>2.2222222222222223</v>
      </c>
      <c r="AB35" s="17" cm="1">
        <f t="array" ref="AB35">$H35 *
IF(ISNUMBER(SEARCH("Rapid",$L35)),7/6,1) *
IF(OR(ISNUMBER(SEARCH("Beam",$L35)),ISNUMBER(SEARCH("Firestorm",$L35))),1, IF(ISNUMBER(SEARCH("Blast",$L35)),(4+$F35+(2-$F35)*0.5)/6*2,(4+$F35)/6)) *
IF(ISNUMBER(SEARCH("Fusion",$L35)), _xlfn.IFS(AB$24-$I35 &lt;=1, 9/10, AB$24-$I35 &lt;=10,(11-(AB$24-$I35))/10, AB$24-$I35 &gt;=11, 0),
_xlfn.IFS(AB$24-$I35 &lt;=1, 5/6, AB$24-$I35 &lt;=5, (7-(AB$24-$I35))/6, AND(AB$24-$I35 =6,NOT(_xlfn.IFNA(ISNUMBER(SEARCH("Rending",$L35)),FALSE))), (7-(AB$24-$I35))/6, AND(AB$24-$I35 &gt;=7,NOT(_xlfn.IFNA(ISNUMBER(SEARCH("Rending",$L35)),FALSE))), 0, AB$24-$I35 =7, (7-(AB$24-1-$I35))/6, AB$24-$I35 =8, (7-(AB$24-2-$I35))/6*2/3, AB$24-$I35 =9, (7-(AB$24-3-$I35))/6*1/3, TRUE, 0)) *
IF(ISNUMBER(SEARCH("Ordinance",$L35)),7/6,1) *
IF(OR(ISNUMBER(SEARCH("Melee",$L35)),ISNUMBER(SEARCH("Bypass",$L35))),1.5,1)</f>
        <v>1.6666666666666667</v>
      </c>
      <c r="AC35" s="17" cm="1">
        <f t="array" ref="AC35">$H35 *
IF(ISNUMBER(SEARCH("Rapid",$L35)),7/6,1) *
IF(OR(ISNUMBER(SEARCH("Beam",$L35)),ISNUMBER(SEARCH("Firestorm",$L35))),1, IF(ISNUMBER(SEARCH("Blast",$L35)),(4+$F35+(2-$F35)*0.5)/6*2,(4+$F35)/6)) *
IF(ISNUMBER(SEARCH("Fusion",$L35)), _xlfn.IFS(AC$24-$I35 &lt;=1, 9/10, AC$24-$I35 &lt;=10,(11-(AC$24-$I35))/10, AC$24-$I35 &gt;=11, 0),
_xlfn.IFS(AC$24-$I35 &lt;=1, 5/6, AC$24-$I35 &lt;=5, (7-(AC$24-$I35))/6, AND(AC$24-$I35 =6,NOT(_xlfn.IFNA(ISNUMBER(SEARCH("Rending",$L35)),FALSE))), (7-(AC$24-$I35))/6, AND(AC$24-$I35 &gt;=7,NOT(_xlfn.IFNA(ISNUMBER(SEARCH("Rending",$L35)),FALSE))), 0, AC$24-$I35 =7, (7-(AC$24-1-$I35))/6, AC$24-$I35 =8, (7-(AC$24-2-$I35))/6*2/3, AC$24-$I35 =9, (7-(AC$24-3-$I35))/6*1/3, TRUE, 0)) *
IF(ISNUMBER(SEARCH("Ordinance",$L35)),7/6,1) *
IF(OR(ISNUMBER(SEARCH("Melee",$L35)),ISNUMBER(SEARCH("Bypass",$L35))),1.5,1)</f>
        <v>1.1111111111111112</v>
      </c>
      <c r="AD35" s="17" cm="1">
        <f t="array" ref="AD35">$H35 *
IF(ISNUMBER(SEARCH("Rapid",$L35)),7/6,1) *
IF(OR(ISNUMBER(SEARCH("Beam",$L35)),ISNUMBER(SEARCH("Firestorm",$L35))),1, IF(ISNUMBER(SEARCH("Blast",$L35)),(4+$F35+(2-$F35)*0.5)/6*2,(4+$F35)/6)) *
IF(ISNUMBER(SEARCH("Fusion",$L35)), _xlfn.IFS(AD$24-$I35 &lt;=1, 9/10, AD$24-$I35 &lt;=10,(11-(AD$24-$I35))/10, AD$24-$I35 &gt;=11, 0),
_xlfn.IFS(AD$24-$I35 &lt;=1, 5/6, AD$24-$I35 &lt;=5, (7-(AD$24-$I35))/6, AND(AD$24-$I35 =6,NOT(_xlfn.IFNA(ISNUMBER(SEARCH("Rending",$L35)),FALSE))), (7-(AD$24-$I35))/6, AND(AD$24-$I35 &gt;=7,NOT(_xlfn.IFNA(ISNUMBER(SEARCH("Rending",$L35)),FALSE))), 0, AD$24-$I35 =7, (7-(AD$24-1-$I35))/6, AD$24-$I35 =8, (7-(AD$24-2-$I35))/6*2/3, AD$24-$I35 =9, (7-(AD$24-3-$I35))/6*1/3, TRUE, 0)) *
IF(ISNUMBER(SEARCH("Ordinance",$L35)),7/6,1) *
IF(OR(ISNUMBER(SEARCH("Melee",$L35)),ISNUMBER(SEARCH("Bypass",$L35))),1.5,1)</f>
        <v>0.55555555555555558</v>
      </c>
      <c r="AE35" s="17" cm="1">
        <f t="array" ref="AE35">$H35 *
IF(ISNUMBER(SEARCH("Rapid",$L35)),7/6,1) *
IF(OR(ISNUMBER(SEARCH("Beam",$L35)),ISNUMBER(SEARCH("Firestorm",$L35))),1, IF(ISNUMBER(SEARCH("Blast",$L35)),(4+$F35+(2-$F35)*0.5)/6*2,(4+$F35)/6)) *
IF(ISNUMBER(SEARCH("Fusion",$L35)), _xlfn.IFS(AE$24-$I35 &lt;=1, 9/10, AE$24-$I35 &lt;=10,(11-(AE$24-$I35))/10, AE$24-$I35 &gt;=11, 0),
_xlfn.IFS(AE$24-$I35 &lt;=1, 5/6, AE$24-$I35 &lt;=5, (7-(AE$24-$I35))/6, AND(AE$24-$I35 =6,NOT(_xlfn.IFNA(ISNUMBER(SEARCH("Rending",$L35)),FALSE))), (7-(AE$24-$I35))/6, AND(AE$24-$I35 &gt;=7,NOT(_xlfn.IFNA(ISNUMBER(SEARCH("Rending",$L35)),FALSE))), 0, AE$24-$I35 =7, (7-(AE$24-1-$I35))/6, AE$24-$I35 =8, (7-(AE$24-2-$I35))/6*2/3, AE$24-$I35 =9, (7-(AE$24-3-$I35))/6*1/3, TRUE, 0)) *
IF(ISNUMBER(SEARCH("Ordinance",$L35)),7/6,1) *
IF(OR(ISNUMBER(SEARCH("Melee",$L35)),ISNUMBER(SEARCH("Bypass",$L35))),1.5,1)</f>
        <v>0</v>
      </c>
      <c r="AF35" s="17" cm="1">
        <f t="array" ref="AF35">$H35 *
IF(ISNUMBER(SEARCH("Rapid",$L35)),7/6,1) *
IF(OR(ISNUMBER(SEARCH("Beam",$L35)),ISNUMBER(SEARCH("Firestorm",$L35))),1, IF(ISNUMBER(SEARCH("Blast",$L35)),(4+$F35+(2-$F35)*0.5)/6*2,(4+$F35)/6)) *
IF(ISNUMBER(SEARCH("Fusion",$L35)), _xlfn.IFS(AF$24-$I35 &lt;=1, 9/10, AF$24-$I35 &lt;=10,(11-(AF$24-$I35))/10, AF$24-$I35 &gt;=11, 0),
_xlfn.IFS(AF$24-$I35 &lt;=1, 5/6, AF$24-$I35 &lt;=5, (7-(AF$24-$I35))/6, AND(AF$24-$I35 =6,NOT(_xlfn.IFNA(ISNUMBER(SEARCH("Rending",$L35)),FALSE))), (7-(AF$24-$I35))/6, AND(AF$24-$I35 &gt;=7,NOT(_xlfn.IFNA(ISNUMBER(SEARCH("Rending",$L35)),FALSE))), 0, AF$24-$I35 =7, (7-(AF$24-1-$I35))/6, AF$24-$I35 =8, (7-(AF$24-2-$I35))/6*2/3, AF$24-$I35 =9, (7-(AF$24-3-$I35))/6*1/3, TRUE, 0)) *
IF(ISNUMBER(SEARCH("Ordinance",$L35)),7/6,1) *
IF(OR(ISNUMBER(SEARCH("Melee",$L35)),ISNUMBER(SEARCH("Bypass",$L35))),1.5,1)</f>
        <v>0</v>
      </c>
      <c r="AG35" s="16">
        <f t="shared" si="3"/>
        <v>1</v>
      </c>
      <c r="AH35" s="16">
        <f t="shared" si="4"/>
        <v>1.5</v>
      </c>
      <c r="AI35" s="17" cm="1">
        <f t="array" ref="AI35">$H35 *
IF(ISNUMBER(SEARCH("Rapid",$L35)),7/6,1) *
IF(OR(ISNUMBER(SEARCH("Beam",$L35)),ISNUMBER(SEARCH("Firestorm",$L35))),1, IF(ISNUMBER(SEARCH("Blast",$L35)),(4+$G35+(2-$G35)*0.5)/6*2,(4+$G35)/6)) *
_xlfn.IFS(AI$24-$I35 &lt;=1, 5/6, AI$24-$I35 &lt;=5, (7-(AI$24-$I35))/6, AND(AI$24-$I35 =6,NOT(_xlfn.IFNA(ISNUMBER(SEARCH("Rending",$L35)),FALSE))), (7-(AI$24-$I35))/6, AND(AI$24-$I35 &gt;=7,NOT(_xlfn.IFNA(ISNUMBER(SEARCH("Rending",$L35)),FALSE))), 0, AI$24-$I35 =7, (7-(AI$24-1-$I35))/6, AI$24-$I35 =8, (7-(AI$24-2-$I35))/6*2/3, AI$24-$I35 =9, (7-(AI$24-3-$I35))/6*1/3, TRUE, 0) *
IF(ISNUMBER(SEARCH("Ordinance",$L35)),7/6,1) *
IF(OR(ISNUMBER(SEARCH("Melee",$L35)),ISNUMBER(SEARCH("Bypass",$L35))),1.5,1)</f>
        <v>2.5</v>
      </c>
      <c r="AJ35" s="17" cm="1">
        <f t="array" ref="AJ35">$H35 *
IF(ISNUMBER(SEARCH("Rapid",$L35)),7/6,1) *
IF(OR(ISNUMBER(SEARCH("Beam",$L35)),ISNUMBER(SEARCH("Firestorm",$L35))),1, IF(ISNUMBER(SEARCH("Blast",$L35)),(4+$G35+(2-$G35)*0.5)/6*2,(4+$G35)/6)) *
_xlfn.IFS(AJ$24-$I35 &lt;=1, 5/6, AJ$24-$I35 &lt;=5, (7-(AJ$24-$I35))/6, AND(AJ$24-$I35 =6,NOT(_xlfn.IFNA(ISNUMBER(SEARCH("Rending",$L35)),FALSE))), (7-(AJ$24-$I35))/6, AND(AJ$24-$I35 &gt;=7,NOT(_xlfn.IFNA(ISNUMBER(SEARCH("Rending",$L35)),FALSE))), 0, AJ$24-$I35 =7, (7-(AJ$24-1-$I35))/6, AJ$24-$I35 =8, (7-(AJ$24-2-$I35))/6*2/3, AJ$24-$I35 =9, (7-(AJ$24-3-$I35))/6*1/3, TRUE, 0) *
IF(ISNUMBER(SEARCH("Ordinance",$L35)),7/6,1) *
IF(OR(ISNUMBER(SEARCH("Melee",$L35)),ISNUMBER(SEARCH("Bypass",$L35))),1.5,1)</f>
        <v>2.5</v>
      </c>
      <c r="AK35" s="17" cm="1">
        <f t="array" ref="AK35">$H35 *
IF(ISNUMBER(SEARCH("Rapid",$L35)),7/6,1) *
IF(OR(ISNUMBER(SEARCH("Beam",$L35)),ISNUMBER(SEARCH("Firestorm",$L35))),1, IF(ISNUMBER(SEARCH("Blast",$L35)),(4+$G35+(2-$G35)*0.5)/6*2,(4+$G35)/6)) *
_xlfn.IFS(AK$24-$I35 &lt;=1, 5/6, AK$24-$I35 &lt;=5, (7-(AK$24-$I35))/6, AND(AK$24-$I35 =6,NOT(_xlfn.IFNA(ISNUMBER(SEARCH("Rending",$L35)),FALSE))), (7-(AK$24-$I35))/6, AND(AK$24-$I35 &gt;=7,NOT(_xlfn.IFNA(ISNUMBER(SEARCH("Rending",$L35)),FALSE))), 0, AK$24-$I35 =7, (7-(AK$24-1-$I35))/6, AK$24-$I35 =8, (7-(AK$24-2-$I35))/6*2/3, AK$24-$I35 =9, (7-(AK$24-3-$I35))/6*1/3, TRUE, 0) *
IF(ISNUMBER(SEARCH("Ordinance",$L35)),7/6,1) *
IF(OR(ISNUMBER(SEARCH("Melee",$L35)),ISNUMBER(SEARCH("Bypass",$L35))),1.5,1)</f>
        <v>2.5</v>
      </c>
      <c r="AL35" s="17" cm="1">
        <f t="array" ref="AL35">$H35 *
IF(ISNUMBER(SEARCH("Rapid",$L35)),7/6,1) *
IF(OR(ISNUMBER(SEARCH("Beam",$L35)),ISNUMBER(SEARCH("Firestorm",$L35))),1, IF(ISNUMBER(SEARCH("Blast",$L35)),(4+$G35+(2-$G35)*0.5)/6*2,(4+$G35)/6)) *
_xlfn.IFS(AL$24-$I35 &lt;=1, 5/6, AL$24-$I35 &lt;=5, (7-(AL$24-$I35))/6, AND(AL$24-$I35 =6,NOT(_xlfn.IFNA(ISNUMBER(SEARCH("Rending",$L35)),FALSE))), (7-(AL$24-$I35))/6, AND(AL$24-$I35 &gt;=7,NOT(_xlfn.IFNA(ISNUMBER(SEARCH("Rending",$L35)),FALSE))), 0, AL$24-$I35 =7, (7-(AL$24-1-$I35))/6, AL$24-$I35 =8, (7-(AL$24-2-$I35))/6*2/3, AL$24-$I35 =9, (7-(AL$24-3-$I35))/6*1/3, TRUE, 0) *
IF(ISNUMBER(SEARCH("Ordinance",$L35)),7/6,1) *
IF(OR(ISNUMBER(SEARCH("Melee",$L35)),ISNUMBER(SEARCH("Bypass",$L35))),1.5,1)</f>
        <v>2</v>
      </c>
      <c r="AM35" s="17" cm="1">
        <f t="array" ref="AM35">$H35 *
IF(ISNUMBER(SEARCH("Rapid",$L35)),7/6,1) *
IF(OR(ISNUMBER(SEARCH("Beam",$L35)),ISNUMBER(SEARCH("Firestorm",$L35))),1, IF(ISNUMBER(SEARCH("Blast",$L35)),(4+$G35+(2-$G35)*0.5)/6*2,(4+$G35)/6)) *
_xlfn.IFS(AM$24-$I35 &lt;=1, 5/6, AM$24-$I35 &lt;=5, (7-(AM$24-$I35))/6, AND(AM$24-$I35 =6,NOT(_xlfn.IFNA(ISNUMBER(SEARCH("Rending",$L35)),FALSE))), (7-(AM$24-$I35))/6, AND(AM$24-$I35 &gt;=7,NOT(_xlfn.IFNA(ISNUMBER(SEARCH("Rending",$L35)),FALSE))), 0, AM$24-$I35 =7, (7-(AM$24-1-$I35))/6, AM$24-$I35 =8, (7-(AM$24-2-$I35))/6*2/3, AM$24-$I35 =9, (7-(AM$24-3-$I35))/6*1/3, TRUE, 0) *
IF(ISNUMBER(SEARCH("Ordinance",$L35)),7/6,1) *
IF(OR(ISNUMBER(SEARCH("Melee",$L35)),ISNUMBER(SEARCH("Bypass",$L35))),1.5,1)</f>
        <v>1.5</v>
      </c>
      <c r="AN35" s="17" cm="1">
        <f t="array" ref="AN35">$H35 *
IF(ISNUMBER(SEARCH("Rapid",$L35)),7/6,1) *
IF(OR(ISNUMBER(SEARCH("Beam",$L35)),ISNUMBER(SEARCH("Firestorm",$L35))),1, IF(ISNUMBER(SEARCH("Blast",$L35)),(4+$G35+(2-$G35)*0.5)/6*2,(4+$G35)/6)) *
_xlfn.IFS(AN$24-$I35 &lt;=1, 5/6, AN$24-$I35 &lt;=5, (7-(AN$24-$I35))/6, AND(AN$24-$I35 =6,NOT(_xlfn.IFNA(ISNUMBER(SEARCH("Rending",$L35)),FALSE))), (7-(AN$24-$I35))/6, AND(AN$24-$I35 &gt;=7,NOT(_xlfn.IFNA(ISNUMBER(SEARCH("Rending",$L35)),FALSE))), 0, AN$24-$I35 =7, (7-(AN$24-1-$I35))/6, AN$24-$I35 =8, (7-(AN$24-2-$I35))/6*2/3, AN$24-$I35 =9, (7-(AN$24-3-$I35))/6*1/3, TRUE, 0) *
IF(ISNUMBER(SEARCH("Ordinance",$L35)),7/6,1) *
IF(OR(ISNUMBER(SEARCH("Melee",$L35)),ISNUMBER(SEARCH("Bypass",$L35))),1.5,1)</f>
        <v>1</v>
      </c>
      <c r="AO35" s="17" cm="1">
        <f t="array" ref="AO35">$H35 *
IF(ISNUMBER(SEARCH("Rapid",$L35)),7/6,1) *
IF(OR(ISNUMBER(SEARCH("Beam",$L35)),ISNUMBER(SEARCH("Firestorm",$L35))),1, IF(ISNUMBER(SEARCH("Blast",$L35)),(4+$G35+(2-$G35)*0.5)/6*2,(4+$G35)/6)) *
_xlfn.IFS(AO$24-$I35 &lt;=1, 5/6, AO$24-$I35 &lt;=5, (7-(AO$24-$I35))/6, AND(AO$24-$I35 =6,NOT(_xlfn.IFNA(ISNUMBER(SEARCH("Rending",$L35)),FALSE))), (7-(AO$24-$I35))/6, AND(AO$24-$I35 &gt;=7,NOT(_xlfn.IFNA(ISNUMBER(SEARCH("Rending",$L35)),FALSE))), 0, AO$24-$I35 =7, (7-(AO$24-1-$I35))/6, AO$24-$I35 =8, (7-(AO$24-2-$I35))/6*2/3, AO$24-$I35 =9, (7-(AO$24-3-$I35))/6*1/3, TRUE, 0) *
IF(ISNUMBER(SEARCH("Ordinance",$L35)),7/6,1) *
IF(OR(ISNUMBER(SEARCH("Melee",$L35)),ISNUMBER(SEARCH("Bypass",$L35))),1.5,1)</f>
        <v>0.5</v>
      </c>
      <c r="AP35" s="17" cm="1">
        <f t="array" ref="AP35">$H35 *
IF(ISNUMBER(SEARCH("Rapid",$L35)),7/6,1) *
IF(OR(ISNUMBER(SEARCH("Beam",$L35)),ISNUMBER(SEARCH("Firestorm",$L35))),1, IF(ISNUMBER(SEARCH("Blast",$L35)),(4+$G35+(2-$G35)*0.5)/6*2,(4+$G35)/6)) *
_xlfn.IFS(AP$24-$I35 &lt;=1, 5/6, AP$24-$I35 &lt;=5, (7-(AP$24-$I35))/6, AND(AP$24-$I35 =6,NOT(_xlfn.IFNA(ISNUMBER(SEARCH("Rending",$L35)),FALSE))), (7-(AP$24-$I35))/6, AND(AP$24-$I35 &gt;=7,NOT(_xlfn.IFNA(ISNUMBER(SEARCH("Rending",$L35)),FALSE))), 0, AP$24-$I35 =7, (7-(AP$24-1-$I35))/6, AP$24-$I35 =8, (7-(AP$24-2-$I35))/6*2/3, AP$24-$I35 =9, (7-(AP$24-3-$I35))/6*1/3, TRUE, 0) *
IF(ISNUMBER(SEARCH("Ordinance",$L35)),7/6,1) *
IF(OR(ISNUMBER(SEARCH("Melee",$L35)),ISNUMBER(SEARCH("Bypass",$L35))),1.5,1)</f>
        <v>0</v>
      </c>
      <c r="AQ35" s="17" cm="1">
        <f t="array" ref="AQ35">$H35 *
IF(ISNUMBER(SEARCH("Rapid",$L35)),7/6,1) *
IF(OR(ISNUMBER(SEARCH("Beam",$L35)),ISNUMBER(SEARCH("Firestorm",$L35))),1, IF(ISNUMBER(SEARCH("Blast",$L35)),(4+$G35+(2-$G35)*0.5)/6*2,(4+$G35)/6)) *
_xlfn.IFS(AQ$24-$I35 &lt;=1, 5/6, AQ$24-$I35 &lt;=5, (7-(AQ$24-$I35))/6, AND(AQ$24-$I35 =6,NOT(_xlfn.IFNA(ISNUMBER(SEARCH("Rending",$L35)),FALSE))), (7-(AQ$24-$I35))/6, AND(AQ$24-$I35 &gt;=7,NOT(_xlfn.IFNA(ISNUMBER(SEARCH("Rending",$L35)),FALSE))), 0, AQ$24-$I35 =7, (7-(AQ$24-1-$I35))/6, AQ$24-$I35 =8, (7-(AQ$24-2-$I35))/6*2/3, AQ$24-$I35 =9, (7-(AQ$24-3-$I35))/6*1/3, TRUE, 0) *
IF(ISNUMBER(SEARCH("Ordinance",$L35)),7/6,1) *
IF(OR(ISNUMBER(SEARCH("Melee",$L35)),ISNUMBER(SEARCH("Bypass",$L35))),1.5,1)</f>
        <v>0</v>
      </c>
      <c r="AS35" s="16">
        <f t="shared" si="5"/>
        <v>1</v>
      </c>
      <c r="AT35" s="16">
        <f t="shared" si="6"/>
        <v>1.5</v>
      </c>
      <c r="AU35" s="16">
        <f t="shared" si="0"/>
        <v>1.3564814814814816</v>
      </c>
      <c r="AV35" s="2">
        <v>11</v>
      </c>
    </row>
    <row r="36" spans="1:48" x14ac:dyDescent="0.3">
      <c r="A36" t="s">
        <v>177</v>
      </c>
      <c r="B36" s="3">
        <v>8</v>
      </c>
      <c r="C36" s="3">
        <v>12</v>
      </c>
      <c r="D36" s="3">
        <v>1</v>
      </c>
      <c r="E36" s="3">
        <v>1</v>
      </c>
      <c r="F36" s="10">
        <v>0</v>
      </c>
      <c r="G36" s="10">
        <v>0</v>
      </c>
      <c r="H36" s="3">
        <v>1</v>
      </c>
      <c r="I36" s="3">
        <v>3</v>
      </c>
      <c r="J36" s="3" t="s">
        <v>198</v>
      </c>
      <c r="K36" s="3">
        <v>10</v>
      </c>
      <c r="L36" s="3" t="s">
        <v>295</v>
      </c>
      <c r="M36" s="3" t="s">
        <v>199</v>
      </c>
      <c r="N36" s="3">
        <v>9</v>
      </c>
      <c r="O36" s="3">
        <v>9</v>
      </c>
      <c r="P36" s="3">
        <v>13</v>
      </c>
      <c r="Q36" s="3" t="s">
        <v>200</v>
      </c>
      <c r="R36" s="3">
        <v>7</v>
      </c>
      <c r="S36" s="3">
        <v>9</v>
      </c>
      <c r="T36" s="3">
        <v>3</v>
      </c>
      <c r="U36" t="s">
        <v>296</v>
      </c>
      <c r="V36" s="16">
        <f t="shared" si="1"/>
        <v>0.22222222222222221</v>
      </c>
      <c r="W36" s="16">
        <f t="shared" si="2"/>
        <v>0.33333333333333331</v>
      </c>
      <c r="X36" s="17" cm="1">
        <f t="array" ref="X36">$H36 *
IF(ISNUMBER(SEARCH("Rapid",$L36)),7/6,1) *
IF(OR(ISNUMBER(SEARCH("Beam",$L36)),ISNUMBER(SEARCH("Firestorm",$L36))),1, IF(ISNUMBER(SEARCH("Blast",$L36)),(4+$F36+(2-$F36)*0.5)/6*2,(4+$F36)/6)) *
IF(ISNUMBER(SEARCH("Fusion",$L36)), _xlfn.IFS(X$24-$I36 &lt;=1, 9/10, X$24-$I36 &lt;=10,(11-(X$24-$I36))/10, X$24-$I36 &gt;=11, 0),
_xlfn.IFS(X$24-$I36 &lt;=1, 5/6, X$24-$I36 &lt;=5, (7-(X$24-$I36))/6, AND(X$24-$I36 =6,NOT(_xlfn.IFNA(ISNUMBER(SEARCH("Rending",$L36)),FALSE))), (7-(X$24-$I36))/6, AND(X$24-$I36 &gt;=7,NOT(_xlfn.IFNA(ISNUMBER(SEARCH("Rending",$L36)),FALSE))), 0, X$24-$I36 =7, (7-(X$24-1-$I36))/6, X$24-$I36 =8, (7-(X$24-2-$I36))/6*2/3, X$24-$I36 =9, (7-(X$24-3-$I36))/6*1/3, TRUE, 0)) *
IF(ISNUMBER(SEARCH("Ordinance",$L36)),7/6,1) *
IF(OR(ISNUMBER(SEARCH("Melee",$L36)),ISNUMBER(SEARCH("Bypass",$L36))),1.5,1)</f>
        <v>0.1111111111111111</v>
      </c>
      <c r="Y36" s="17" cm="1">
        <f t="array" ref="Y36">$H36 *
IF(ISNUMBER(SEARCH("Rapid",$L36)),7/6,1) *
IF(OR(ISNUMBER(SEARCH("Beam",$L36)),ISNUMBER(SEARCH("Firestorm",$L36))),1, IF(ISNUMBER(SEARCH("Blast",$L36)),(4+$F36+(2-$F36)*0.5)/6*2,(4+$F36)/6)) *
IF(ISNUMBER(SEARCH("Fusion",$L36)), _xlfn.IFS(Y$24-$I36 &lt;=1, 9/10, Y$24-$I36 &lt;=10,(11-(Y$24-$I36))/10, Y$24-$I36 &gt;=11, 0),
_xlfn.IFS(Y$24-$I36 &lt;=1, 5/6, Y$24-$I36 &lt;=5, (7-(Y$24-$I36))/6, AND(Y$24-$I36 =6,NOT(_xlfn.IFNA(ISNUMBER(SEARCH("Rending",$L36)),FALSE))), (7-(Y$24-$I36))/6, AND(Y$24-$I36 &gt;=7,NOT(_xlfn.IFNA(ISNUMBER(SEARCH("Rending",$L36)),FALSE))), 0, Y$24-$I36 =7, (7-(Y$24-1-$I36))/6, Y$24-$I36 =8, (7-(Y$24-2-$I36))/6*2/3, Y$24-$I36 =9, (7-(Y$24-3-$I36))/6*1/3, TRUE, 0)) *
IF(ISNUMBER(SEARCH("Ordinance",$L36)),7/6,1) *
IF(OR(ISNUMBER(SEARCH("Melee",$L36)),ISNUMBER(SEARCH("Bypass",$L36))),1.5,1)</f>
        <v>0</v>
      </c>
      <c r="Z36" s="17" cm="1">
        <f t="array" ref="Z36">$H36 *
IF(ISNUMBER(SEARCH("Rapid",$L36)),7/6,1) *
IF(OR(ISNUMBER(SEARCH("Beam",$L36)),ISNUMBER(SEARCH("Firestorm",$L36))),1, IF(ISNUMBER(SEARCH("Blast",$L36)),(4+$F36+(2-$F36)*0.5)/6*2,(4+$F36)/6)) *
IF(ISNUMBER(SEARCH("Fusion",$L36)), _xlfn.IFS(Z$24-$I36 &lt;=1, 9/10, Z$24-$I36 &lt;=10,(11-(Z$24-$I36))/10, Z$24-$I36 &gt;=11, 0),
_xlfn.IFS(Z$24-$I36 &lt;=1, 5/6, Z$24-$I36 &lt;=5, (7-(Z$24-$I36))/6, AND(Z$24-$I36 =6,NOT(_xlfn.IFNA(ISNUMBER(SEARCH("Rending",$L36)),FALSE))), (7-(Z$24-$I36))/6, AND(Z$24-$I36 &gt;=7,NOT(_xlfn.IFNA(ISNUMBER(SEARCH("Rending",$L36)),FALSE))), 0, Z$24-$I36 =7, (7-(Z$24-1-$I36))/6, Z$24-$I36 =8, (7-(Z$24-2-$I36))/6*2/3, Z$24-$I36 =9, (7-(Z$24-3-$I36))/6*1/3, TRUE, 0)) *
IF(ISNUMBER(SEARCH("Ordinance",$L36)),7/6,1) *
IF(OR(ISNUMBER(SEARCH("Melee",$L36)),ISNUMBER(SEARCH("Bypass",$L36))),1.5,1)</f>
        <v>0</v>
      </c>
      <c r="AA36" s="17" cm="1">
        <f t="array" ref="AA36">$H36 *
IF(ISNUMBER(SEARCH("Rapid",$L36)),7/6,1) *
IF(OR(ISNUMBER(SEARCH("Beam",$L36)),ISNUMBER(SEARCH("Firestorm",$L36))),1, IF(ISNUMBER(SEARCH("Blast",$L36)),(4+$F36+(2-$F36)*0.5)/6*2,(4+$F36)/6)) *
IF(ISNUMBER(SEARCH("Fusion",$L36)), _xlfn.IFS(AA$24-$I36 &lt;=1, 9/10, AA$24-$I36 &lt;=10,(11-(AA$24-$I36))/10, AA$24-$I36 &gt;=11, 0),
_xlfn.IFS(AA$24-$I36 &lt;=1, 5/6, AA$24-$I36 &lt;=5, (7-(AA$24-$I36))/6, AND(AA$24-$I36 =6,NOT(_xlfn.IFNA(ISNUMBER(SEARCH("Rending",$L36)),FALSE))), (7-(AA$24-$I36))/6, AND(AA$24-$I36 &gt;=7,NOT(_xlfn.IFNA(ISNUMBER(SEARCH("Rending",$L36)),FALSE))), 0, AA$24-$I36 =7, (7-(AA$24-1-$I36))/6, AA$24-$I36 =8, (7-(AA$24-2-$I36))/6*2/3, AA$24-$I36 =9, (7-(AA$24-3-$I36))/6*1/3, TRUE, 0)) *
IF(ISNUMBER(SEARCH("Ordinance",$L36)),7/6,1) *
IF(OR(ISNUMBER(SEARCH("Melee",$L36)),ISNUMBER(SEARCH("Bypass",$L36))),1.5,1)</f>
        <v>0</v>
      </c>
      <c r="AB36" s="17" cm="1">
        <f t="array" ref="AB36">$H36 *
IF(ISNUMBER(SEARCH("Rapid",$L36)),7/6,1) *
IF(OR(ISNUMBER(SEARCH("Beam",$L36)),ISNUMBER(SEARCH("Firestorm",$L36))),1, IF(ISNUMBER(SEARCH("Blast",$L36)),(4+$F36+(2-$F36)*0.5)/6*2,(4+$F36)/6)) *
IF(ISNUMBER(SEARCH("Fusion",$L36)), _xlfn.IFS(AB$24-$I36 &lt;=1, 9/10, AB$24-$I36 &lt;=10,(11-(AB$24-$I36))/10, AB$24-$I36 &gt;=11, 0),
_xlfn.IFS(AB$24-$I36 &lt;=1, 5/6, AB$24-$I36 &lt;=5, (7-(AB$24-$I36))/6, AND(AB$24-$I36 =6,NOT(_xlfn.IFNA(ISNUMBER(SEARCH("Rending",$L36)),FALSE))), (7-(AB$24-$I36))/6, AND(AB$24-$I36 &gt;=7,NOT(_xlfn.IFNA(ISNUMBER(SEARCH("Rending",$L36)),FALSE))), 0, AB$24-$I36 =7, (7-(AB$24-1-$I36))/6, AB$24-$I36 =8, (7-(AB$24-2-$I36))/6*2/3, AB$24-$I36 =9, (7-(AB$24-3-$I36))/6*1/3, TRUE, 0)) *
IF(ISNUMBER(SEARCH("Ordinance",$L36)),7/6,1) *
IF(OR(ISNUMBER(SEARCH("Melee",$L36)),ISNUMBER(SEARCH("Bypass",$L36))),1.5,1)</f>
        <v>0</v>
      </c>
      <c r="AC36" s="17" cm="1">
        <f t="array" ref="AC36">$H36 *
IF(ISNUMBER(SEARCH("Rapid",$L36)),7/6,1) *
IF(OR(ISNUMBER(SEARCH("Beam",$L36)),ISNUMBER(SEARCH("Firestorm",$L36))),1, IF(ISNUMBER(SEARCH("Blast",$L36)),(4+$F36+(2-$F36)*0.5)/6*2,(4+$F36)/6)) *
IF(ISNUMBER(SEARCH("Fusion",$L36)), _xlfn.IFS(AC$24-$I36 &lt;=1, 9/10, AC$24-$I36 &lt;=10,(11-(AC$24-$I36))/10, AC$24-$I36 &gt;=11, 0),
_xlfn.IFS(AC$24-$I36 &lt;=1, 5/6, AC$24-$I36 &lt;=5, (7-(AC$24-$I36))/6, AND(AC$24-$I36 =6,NOT(_xlfn.IFNA(ISNUMBER(SEARCH("Rending",$L36)),FALSE))), (7-(AC$24-$I36))/6, AND(AC$24-$I36 &gt;=7,NOT(_xlfn.IFNA(ISNUMBER(SEARCH("Rending",$L36)),FALSE))), 0, AC$24-$I36 =7, (7-(AC$24-1-$I36))/6, AC$24-$I36 =8, (7-(AC$24-2-$I36))/6*2/3, AC$24-$I36 =9, (7-(AC$24-3-$I36))/6*1/3, TRUE, 0)) *
IF(ISNUMBER(SEARCH("Ordinance",$L36)),7/6,1) *
IF(OR(ISNUMBER(SEARCH("Melee",$L36)),ISNUMBER(SEARCH("Bypass",$L36))),1.5,1)</f>
        <v>0</v>
      </c>
      <c r="AD36" s="17" cm="1">
        <f t="array" ref="AD36">$H36 *
IF(ISNUMBER(SEARCH("Rapid",$L36)),7/6,1) *
IF(OR(ISNUMBER(SEARCH("Beam",$L36)),ISNUMBER(SEARCH("Firestorm",$L36))),1, IF(ISNUMBER(SEARCH("Blast",$L36)),(4+$F36+(2-$F36)*0.5)/6*2,(4+$F36)/6)) *
IF(ISNUMBER(SEARCH("Fusion",$L36)), _xlfn.IFS(AD$24-$I36 &lt;=1, 9/10, AD$24-$I36 &lt;=10,(11-(AD$24-$I36))/10, AD$24-$I36 &gt;=11, 0),
_xlfn.IFS(AD$24-$I36 &lt;=1, 5/6, AD$24-$I36 &lt;=5, (7-(AD$24-$I36))/6, AND(AD$24-$I36 =6,NOT(_xlfn.IFNA(ISNUMBER(SEARCH("Rending",$L36)),FALSE))), (7-(AD$24-$I36))/6, AND(AD$24-$I36 &gt;=7,NOT(_xlfn.IFNA(ISNUMBER(SEARCH("Rending",$L36)),FALSE))), 0, AD$24-$I36 =7, (7-(AD$24-1-$I36))/6, AD$24-$I36 =8, (7-(AD$24-2-$I36))/6*2/3, AD$24-$I36 =9, (7-(AD$24-3-$I36))/6*1/3, TRUE, 0)) *
IF(ISNUMBER(SEARCH("Ordinance",$L36)),7/6,1) *
IF(OR(ISNUMBER(SEARCH("Melee",$L36)),ISNUMBER(SEARCH("Bypass",$L36))),1.5,1)</f>
        <v>0</v>
      </c>
      <c r="AE36" s="17" cm="1">
        <f t="array" ref="AE36">$H36 *
IF(ISNUMBER(SEARCH("Rapid",$L36)),7/6,1) *
IF(OR(ISNUMBER(SEARCH("Beam",$L36)),ISNUMBER(SEARCH("Firestorm",$L36))),1, IF(ISNUMBER(SEARCH("Blast",$L36)),(4+$F36+(2-$F36)*0.5)/6*2,(4+$F36)/6)) *
IF(ISNUMBER(SEARCH("Fusion",$L36)), _xlfn.IFS(AE$24-$I36 &lt;=1, 9/10, AE$24-$I36 &lt;=10,(11-(AE$24-$I36))/10, AE$24-$I36 &gt;=11, 0),
_xlfn.IFS(AE$24-$I36 &lt;=1, 5/6, AE$24-$I36 &lt;=5, (7-(AE$24-$I36))/6, AND(AE$24-$I36 =6,NOT(_xlfn.IFNA(ISNUMBER(SEARCH("Rending",$L36)),FALSE))), (7-(AE$24-$I36))/6, AND(AE$24-$I36 &gt;=7,NOT(_xlfn.IFNA(ISNUMBER(SEARCH("Rending",$L36)),FALSE))), 0, AE$24-$I36 =7, (7-(AE$24-1-$I36))/6, AE$24-$I36 =8, (7-(AE$24-2-$I36))/6*2/3, AE$24-$I36 =9, (7-(AE$24-3-$I36))/6*1/3, TRUE, 0)) *
IF(ISNUMBER(SEARCH("Ordinance",$L36)),7/6,1) *
IF(OR(ISNUMBER(SEARCH("Melee",$L36)),ISNUMBER(SEARCH("Bypass",$L36))),1.5,1)</f>
        <v>0</v>
      </c>
      <c r="AF36" s="17" cm="1">
        <f t="array" ref="AF36">$H36 *
IF(ISNUMBER(SEARCH("Rapid",$L36)),7/6,1) *
IF(OR(ISNUMBER(SEARCH("Beam",$L36)),ISNUMBER(SEARCH("Firestorm",$L36))),1, IF(ISNUMBER(SEARCH("Blast",$L36)),(4+$F36+(2-$F36)*0.5)/6*2,(4+$F36)/6)) *
IF(ISNUMBER(SEARCH("Fusion",$L36)), _xlfn.IFS(AF$24-$I36 &lt;=1, 9/10, AF$24-$I36 &lt;=10,(11-(AF$24-$I36))/10, AF$24-$I36 &gt;=11, 0),
_xlfn.IFS(AF$24-$I36 &lt;=1, 5/6, AF$24-$I36 &lt;=5, (7-(AF$24-$I36))/6, AND(AF$24-$I36 =6,NOT(_xlfn.IFNA(ISNUMBER(SEARCH("Rending",$L36)),FALSE))), (7-(AF$24-$I36))/6, AND(AF$24-$I36 &gt;=7,NOT(_xlfn.IFNA(ISNUMBER(SEARCH("Rending",$L36)),FALSE))), 0, AF$24-$I36 =7, (7-(AF$24-1-$I36))/6, AF$24-$I36 =8, (7-(AF$24-2-$I36))/6*2/3, AF$24-$I36 =9, (7-(AF$24-3-$I36))/6*1/3, TRUE, 0)) *
IF(ISNUMBER(SEARCH("Ordinance",$L36)),7/6,1) *
IF(OR(ISNUMBER(SEARCH("Melee",$L36)),ISNUMBER(SEARCH("Bypass",$L36))),1.5,1)</f>
        <v>0</v>
      </c>
      <c r="AG36" s="16">
        <f t="shared" si="3"/>
        <v>0.22222222222222221</v>
      </c>
      <c r="AH36" s="16">
        <f t="shared" si="4"/>
        <v>0.33333333333333331</v>
      </c>
      <c r="AI36" s="17" cm="1">
        <f t="array" ref="AI36">$H36 *
IF(ISNUMBER(SEARCH("Rapid",$L36)),7/6,1) *
IF(OR(ISNUMBER(SEARCH("Beam",$L36)),ISNUMBER(SEARCH("Firestorm",$L36))),1, IF(ISNUMBER(SEARCH("Blast",$L36)),(4+$G36+(2-$G36)*0.5)/6*2,(4+$G36)/6)) *
_xlfn.IFS(AI$24-$I36 &lt;=1, 5/6, AI$24-$I36 &lt;=5, (7-(AI$24-$I36))/6, AND(AI$24-$I36 =6,NOT(_xlfn.IFNA(ISNUMBER(SEARCH("Rending",$L36)),FALSE))), (7-(AI$24-$I36))/6, AND(AI$24-$I36 &gt;=7,NOT(_xlfn.IFNA(ISNUMBER(SEARCH("Rending",$L36)),FALSE))), 0, AI$24-$I36 =7, (7-(AI$24-1-$I36))/6, AI$24-$I36 =8, (7-(AI$24-2-$I36))/6*2/3, AI$24-$I36 =9, (7-(AI$24-3-$I36))/6*1/3, TRUE, 0) *
IF(ISNUMBER(SEARCH("Ordinance",$L36)),7/6,1) *
IF(OR(ISNUMBER(SEARCH("Melee",$L36)),ISNUMBER(SEARCH("Bypass",$L36))),1.5,1)</f>
        <v>0.1111111111111111</v>
      </c>
      <c r="AJ36" s="17" cm="1">
        <f t="array" ref="AJ36">$H36 *
IF(ISNUMBER(SEARCH("Rapid",$L36)),7/6,1) *
IF(OR(ISNUMBER(SEARCH("Beam",$L36)),ISNUMBER(SEARCH("Firestorm",$L36))),1, IF(ISNUMBER(SEARCH("Blast",$L36)),(4+$G36+(2-$G36)*0.5)/6*2,(4+$G36)/6)) *
_xlfn.IFS(AJ$24-$I36 &lt;=1, 5/6, AJ$24-$I36 &lt;=5, (7-(AJ$24-$I36))/6, AND(AJ$24-$I36 =6,NOT(_xlfn.IFNA(ISNUMBER(SEARCH("Rending",$L36)),FALSE))), (7-(AJ$24-$I36))/6, AND(AJ$24-$I36 &gt;=7,NOT(_xlfn.IFNA(ISNUMBER(SEARCH("Rending",$L36)),FALSE))), 0, AJ$24-$I36 =7, (7-(AJ$24-1-$I36))/6, AJ$24-$I36 =8, (7-(AJ$24-2-$I36))/6*2/3, AJ$24-$I36 =9, (7-(AJ$24-3-$I36))/6*1/3, TRUE, 0) *
IF(ISNUMBER(SEARCH("Ordinance",$L36)),7/6,1) *
IF(OR(ISNUMBER(SEARCH("Melee",$L36)),ISNUMBER(SEARCH("Bypass",$L36))),1.5,1)</f>
        <v>0</v>
      </c>
      <c r="AK36" s="17" cm="1">
        <f t="array" ref="AK36">$H36 *
IF(ISNUMBER(SEARCH("Rapid",$L36)),7/6,1) *
IF(OR(ISNUMBER(SEARCH("Beam",$L36)),ISNUMBER(SEARCH("Firestorm",$L36))),1, IF(ISNUMBER(SEARCH("Blast",$L36)),(4+$G36+(2-$G36)*0.5)/6*2,(4+$G36)/6)) *
_xlfn.IFS(AK$24-$I36 &lt;=1, 5/6, AK$24-$I36 &lt;=5, (7-(AK$24-$I36))/6, AND(AK$24-$I36 =6,NOT(_xlfn.IFNA(ISNUMBER(SEARCH("Rending",$L36)),FALSE))), (7-(AK$24-$I36))/6, AND(AK$24-$I36 &gt;=7,NOT(_xlfn.IFNA(ISNUMBER(SEARCH("Rending",$L36)),FALSE))), 0, AK$24-$I36 =7, (7-(AK$24-1-$I36))/6, AK$24-$I36 =8, (7-(AK$24-2-$I36))/6*2/3, AK$24-$I36 =9, (7-(AK$24-3-$I36))/6*1/3, TRUE, 0) *
IF(ISNUMBER(SEARCH("Ordinance",$L36)),7/6,1) *
IF(OR(ISNUMBER(SEARCH("Melee",$L36)),ISNUMBER(SEARCH("Bypass",$L36))),1.5,1)</f>
        <v>0</v>
      </c>
      <c r="AL36" s="17" cm="1">
        <f t="array" ref="AL36">$H36 *
IF(ISNUMBER(SEARCH("Rapid",$L36)),7/6,1) *
IF(OR(ISNUMBER(SEARCH("Beam",$L36)),ISNUMBER(SEARCH("Firestorm",$L36))),1, IF(ISNUMBER(SEARCH("Blast",$L36)),(4+$G36+(2-$G36)*0.5)/6*2,(4+$G36)/6)) *
_xlfn.IFS(AL$24-$I36 &lt;=1, 5/6, AL$24-$I36 &lt;=5, (7-(AL$24-$I36))/6, AND(AL$24-$I36 =6,NOT(_xlfn.IFNA(ISNUMBER(SEARCH("Rending",$L36)),FALSE))), (7-(AL$24-$I36))/6, AND(AL$24-$I36 &gt;=7,NOT(_xlfn.IFNA(ISNUMBER(SEARCH("Rending",$L36)),FALSE))), 0, AL$24-$I36 =7, (7-(AL$24-1-$I36))/6, AL$24-$I36 =8, (7-(AL$24-2-$I36))/6*2/3, AL$24-$I36 =9, (7-(AL$24-3-$I36))/6*1/3, TRUE, 0) *
IF(ISNUMBER(SEARCH("Ordinance",$L36)),7/6,1) *
IF(OR(ISNUMBER(SEARCH("Melee",$L36)),ISNUMBER(SEARCH("Bypass",$L36))),1.5,1)</f>
        <v>0</v>
      </c>
      <c r="AM36" s="17" cm="1">
        <f t="array" ref="AM36">$H36 *
IF(ISNUMBER(SEARCH("Rapid",$L36)),7/6,1) *
IF(OR(ISNUMBER(SEARCH("Beam",$L36)),ISNUMBER(SEARCH("Firestorm",$L36))),1, IF(ISNUMBER(SEARCH("Blast",$L36)),(4+$G36+(2-$G36)*0.5)/6*2,(4+$G36)/6)) *
_xlfn.IFS(AM$24-$I36 &lt;=1, 5/6, AM$24-$I36 &lt;=5, (7-(AM$24-$I36))/6, AND(AM$24-$I36 =6,NOT(_xlfn.IFNA(ISNUMBER(SEARCH("Rending",$L36)),FALSE))), (7-(AM$24-$I36))/6, AND(AM$24-$I36 &gt;=7,NOT(_xlfn.IFNA(ISNUMBER(SEARCH("Rending",$L36)),FALSE))), 0, AM$24-$I36 =7, (7-(AM$24-1-$I36))/6, AM$24-$I36 =8, (7-(AM$24-2-$I36))/6*2/3, AM$24-$I36 =9, (7-(AM$24-3-$I36))/6*1/3, TRUE, 0) *
IF(ISNUMBER(SEARCH("Ordinance",$L36)),7/6,1) *
IF(OR(ISNUMBER(SEARCH("Melee",$L36)),ISNUMBER(SEARCH("Bypass",$L36))),1.5,1)</f>
        <v>0</v>
      </c>
      <c r="AN36" s="17" cm="1">
        <f t="array" ref="AN36">$H36 *
IF(ISNUMBER(SEARCH("Rapid",$L36)),7/6,1) *
IF(OR(ISNUMBER(SEARCH("Beam",$L36)),ISNUMBER(SEARCH("Firestorm",$L36))),1, IF(ISNUMBER(SEARCH("Blast",$L36)),(4+$G36+(2-$G36)*0.5)/6*2,(4+$G36)/6)) *
_xlfn.IFS(AN$24-$I36 &lt;=1, 5/6, AN$24-$I36 &lt;=5, (7-(AN$24-$I36))/6, AND(AN$24-$I36 =6,NOT(_xlfn.IFNA(ISNUMBER(SEARCH("Rending",$L36)),FALSE))), (7-(AN$24-$I36))/6, AND(AN$24-$I36 &gt;=7,NOT(_xlfn.IFNA(ISNUMBER(SEARCH("Rending",$L36)),FALSE))), 0, AN$24-$I36 =7, (7-(AN$24-1-$I36))/6, AN$24-$I36 =8, (7-(AN$24-2-$I36))/6*2/3, AN$24-$I36 =9, (7-(AN$24-3-$I36))/6*1/3, TRUE, 0) *
IF(ISNUMBER(SEARCH("Ordinance",$L36)),7/6,1) *
IF(OR(ISNUMBER(SEARCH("Melee",$L36)),ISNUMBER(SEARCH("Bypass",$L36))),1.5,1)</f>
        <v>0</v>
      </c>
      <c r="AO36" s="17" cm="1">
        <f t="array" ref="AO36">$H36 *
IF(ISNUMBER(SEARCH("Rapid",$L36)),7/6,1) *
IF(OR(ISNUMBER(SEARCH("Beam",$L36)),ISNUMBER(SEARCH("Firestorm",$L36))),1, IF(ISNUMBER(SEARCH("Blast",$L36)),(4+$G36+(2-$G36)*0.5)/6*2,(4+$G36)/6)) *
_xlfn.IFS(AO$24-$I36 &lt;=1, 5/6, AO$24-$I36 &lt;=5, (7-(AO$24-$I36))/6, AND(AO$24-$I36 =6,NOT(_xlfn.IFNA(ISNUMBER(SEARCH("Rending",$L36)),FALSE))), (7-(AO$24-$I36))/6, AND(AO$24-$I36 &gt;=7,NOT(_xlfn.IFNA(ISNUMBER(SEARCH("Rending",$L36)),FALSE))), 0, AO$24-$I36 =7, (7-(AO$24-1-$I36))/6, AO$24-$I36 =8, (7-(AO$24-2-$I36))/6*2/3, AO$24-$I36 =9, (7-(AO$24-3-$I36))/6*1/3, TRUE, 0) *
IF(ISNUMBER(SEARCH("Ordinance",$L36)),7/6,1) *
IF(OR(ISNUMBER(SEARCH("Melee",$L36)),ISNUMBER(SEARCH("Bypass",$L36))),1.5,1)</f>
        <v>0</v>
      </c>
      <c r="AP36" s="17" cm="1">
        <f t="array" ref="AP36">$H36 *
IF(ISNUMBER(SEARCH("Rapid",$L36)),7/6,1) *
IF(OR(ISNUMBER(SEARCH("Beam",$L36)),ISNUMBER(SEARCH("Firestorm",$L36))),1, IF(ISNUMBER(SEARCH("Blast",$L36)),(4+$G36+(2-$G36)*0.5)/6*2,(4+$G36)/6)) *
_xlfn.IFS(AP$24-$I36 &lt;=1, 5/6, AP$24-$I36 &lt;=5, (7-(AP$24-$I36))/6, AND(AP$24-$I36 =6,NOT(_xlfn.IFNA(ISNUMBER(SEARCH("Rending",$L36)),FALSE))), (7-(AP$24-$I36))/6, AND(AP$24-$I36 &gt;=7,NOT(_xlfn.IFNA(ISNUMBER(SEARCH("Rending",$L36)),FALSE))), 0, AP$24-$I36 =7, (7-(AP$24-1-$I36))/6, AP$24-$I36 =8, (7-(AP$24-2-$I36))/6*2/3, AP$24-$I36 =9, (7-(AP$24-3-$I36))/6*1/3, TRUE, 0) *
IF(ISNUMBER(SEARCH("Ordinance",$L36)),7/6,1) *
IF(OR(ISNUMBER(SEARCH("Melee",$L36)),ISNUMBER(SEARCH("Bypass",$L36))),1.5,1)</f>
        <v>0</v>
      </c>
      <c r="AQ36" s="17" cm="1">
        <f t="array" ref="AQ36">$H36 *
IF(ISNUMBER(SEARCH("Rapid",$L36)),7/6,1) *
IF(OR(ISNUMBER(SEARCH("Beam",$L36)),ISNUMBER(SEARCH("Firestorm",$L36))),1, IF(ISNUMBER(SEARCH("Blast",$L36)),(4+$G36+(2-$G36)*0.5)/6*2,(4+$G36)/6)) *
_xlfn.IFS(AQ$24-$I36 &lt;=1, 5/6, AQ$24-$I36 &lt;=5, (7-(AQ$24-$I36))/6, AND(AQ$24-$I36 =6,NOT(_xlfn.IFNA(ISNUMBER(SEARCH("Rending",$L36)),FALSE))), (7-(AQ$24-$I36))/6, AND(AQ$24-$I36 &gt;=7,NOT(_xlfn.IFNA(ISNUMBER(SEARCH("Rending",$L36)),FALSE))), 0, AQ$24-$I36 =7, (7-(AQ$24-1-$I36))/6, AQ$24-$I36 =8, (7-(AQ$24-2-$I36))/6*2/3, AQ$24-$I36 =9, (7-(AQ$24-3-$I36))/6*1/3, TRUE, 0) *
IF(ISNUMBER(SEARCH("Ordinance",$L36)),7/6,1) *
IF(OR(ISNUMBER(SEARCH("Melee",$L36)),ISNUMBER(SEARCH("Bypass",$L36))),1.5,1)</f>
        <v>0</v>
      </c>
      <c r="AS36" s="16">
        <f t="shared" si="5"/>
        <v>0.22222222222222221</v>
      </c>
      <c r="AT36" s="16">
        <f t="shared" si="6"/>
        <v>0.33333333333333331</v>
      </c>
      <c r="AU36" s="16">
        <f t="shared" si="0"/>
        <v>5.7407407407407407E-2</v>
      </c>
      <c r="AV36" s="2">
        <v>9</v>
      </c>
    </row>
    <row r="37" spans="1:48" x14ac:dyDescent="0.3">
      <c r="A37" t="s">
        <v>178</v>
      </c>
      <c r="B37" s="3">
        <v>6</v>
      </c>
      <c r="C37" s="3">
        <v>10</v>
      </c>
      <c r="D37" s="3">
        <v>1</v>
      </c>
      <c r="E37" s="3">
        <v>1</v>
      </c>
      <c r="F37" s="10">
        <v>1</v>
      </c>
      <c r="G37" s="10"/>
      <c r="H37" s="3">
        <v>1</v>
      </c>
      <c r="I37" s="3">
        <v>4</v>
      </c>
      <c r="J37" s="3" t="s">
        <v>198</v>
      </c>
      <c r="K37" s="3">
        <v>20</v>
      </c>
      <c r="L37" s="3" t="s">
        <v>205</v>
      </c>
      <c r="M37" s="3" t="s">
        <v>199</v>
      </c>
      <c r="N37" s="3">
        <v>9</v>
      </c>
      <c r="O37" s="3">
        <v>9</v>
      </c>
      <c r="P37" s="3">
        <v>13</v>
      </c>
      <c r="Q37" s="3" t="s">
        <v>200</v>
      </c>
      <c r="R37" s="3">
        <v>7</v>
      </c>
      <c r="S37" s="3">
        <v>9</v>
      </c>
      <c r="T37" s="3">
        <v>3</v>
      </c>
      <c r="V37" s="16">
        <f t="shared" si="1"/>
        <v>0</v>
      </c>
      <c r="W37" s="16">
        <f t="shared" si="2"/>
        <v>0</v>
      </c>
      <c r="X37" s="17" cm="1">
        <f t="array" ref="X37">$H37 *
IF(ISNUMBER(SEARCH("Rapid",$L37)),7/6,1) *
IF(OR(ISNUMBER(SEARCH("Beam",$L37)),ISNUMBER(SEARCH("Firestorm",$L37))),1, IF(ISNUMBER(SEARCH("Blast",$L37)),(4+$F37+(2-$F37)*0.5)/6*2,(4+$F37)/6)) *
IF(ISNUMBER(SEARCH("Fusion",$L37)), _xlfn.IFS(X$24-$I37 &lt;=1, 9/10, X$24-$I37 &lt;=10,(11-(X$24-$I37))/10, X$24-$I37 &gt;=11, 0),
_xlfn.IFS(X$24-$I37 &lt;=1, 5/6, X$24-$I37 &lt;=5, (7-(X$24-$I37))/6, AND(X$24-$I37 =6,NOT(_xlfn.IFNA(ISNUMBER(SEARCH("Rending",$L37)),FALSE))), (7-(X$24-$I37))/6, AND(X$24-$I37 &gt;=7,NOT(_xlfn.IFNA(ISNUMBER(SEARCH("Rending",$L37)),FALSE))), 0, X$24-$I37 =7, (7-(X$24-1-$I37))/6, X$24-$I37 =8, (7-(X$24-2-$I37))/6*2/3, X$24-$I37 =9, (7-(X$24-3-$I37))/6*1/3, TRUE, 0)) *
IF(ISNUMBER(SEARCH("Ordinance",$L37)),7/6,1) *
IF(OR(ISNUMBER(SEARCH("Melee",$L37)),ISNUMBER(SEARCH("Bypass",$L37))),1.5,1)</f>
        <v>0.41666666666666669</v>
      </c>
      <c r="Y37" s="17" cm="1">
        <f t="array" ref="Y37">$H37 *
IF(ISNUMBER(SEARCH("Rapid",$L37)),7/6,1) *
IF(OR(ISNUMBER(SEARCH("Beam",$L37)),ISNUMBER(SEARCH("Firestorm",$L37))),1, IF(ISNUMBER(SEARCH("Blast",$L37)),(4+$F37+(2-$F37)*0.5)/6*2,(4+$F37)/6)) *
IF(ISNUMBER(SEARCH("Fusion",$L37)), _xlfn.IFS(Y$24-$I37 &lt;=1, 9/10, Y$24-$I37 &lt;=10,(11-(Y$24-$I37))/10, Y$24-$I37 &gt;=11, 0),
_xlfn.IFS(Y$24-$I37 &lt;=1, 5/6, Y$24-$I37 &lt;=5, (7-(Y$24-$I37))/6, AND(Y$24-$I37 =6,NOT(_xlfn.IFNA(ISNUMBER(SEARCH("Rending",$L37)),FALSE))), (7-(Y$24-$I37))/6, AND(Y$24-$I37 &gt;=7,NOT(_xlfn.IFNA(ISNUMBER(SEARCH("Rending",$L37)),FALSE))), 0, Y$24-$I37 =7, (7-(Y$24-1-$I37))/6, Y$24-$I37 =8, (7-(Y$24-2-$I37))/6*2/3, Y$24-$I37 =9, (7-(Y$24-3-$I37))/6*1/3, TRUE, 0)) *
IF(ISNUMBER(SEARCH("Ordinance",$L37)),7/6,1) *
IF(OR(ISNUMBER(SEARCH("Melee",$L37)),ISNUMBER(SEARCH("Bypass",$L37))),1.5,1)</f>
        <v>0.20833333333333334</v>
      </c>
      <c r="Z37" s="17" cm="1">
        <f t="array" ref="Z37">$H37 *
IF(ISNUMBER(SEARCH("Rapid",$L37)),7/6,1) *
IF(OR(ISNUMBER(SEARCH("Beam",$L37)),ISNUMBER(SEARCH("Firestorm",$L37))),1, IF(ISNUMBER(SEARCH("Blast",$L37)),(4+$F37+(2-$F37)*0.5)/6*2,(4+$F37)/6)) *
IF(ISNUMBER(SEARCH("Fusion",$L37)), _xlfn.IFS(Z$24-$I37 &lt;=1, 9/10, Z$24-$I37 &lt;=10,(11-(Z$24-$I37))/10, Z$24-$I37 &gt;=11, 0),
_xlfn.IFS(Z$24-$I37 &lt;=1, 5/6, Z$24-$I37 &lt;=5, (7-(Z$24-$I37))/6, AND(Z$24-$I37 =6,NOT(_xlfn.IFNA(ISNUMBER(SEARCH("Rending",$L37)),FALSE))), (7-(Z$24-$I37))/6, AND(Z$24-$I37 &gt;=7,NOT(_xlfn.IFNA(ISNUMBER(SEARCH("Rending",$L37)),FALSE))), 0, Z$24-$I37 =7, (7-(Z$24-1-$I37))/6, Z$24-$I37 =8, (7-(Z$24-2-$I37))/6*2/3, Z$24-$I37 =9, (7-(Z$24-3-$I37))/6*1/3, TRUE, 0)) *
IF(ISNUMBER(SEARCH("Ordinance",$L37)),7/6,1) *
IF(OR(ISNUMBER(SEARCH("Melee",$L37)),ISNUMBER(SEARCH("Bypass",$L37))),1.5,1)</f>
        <v>0</v>
      </c>
      <c r="AA37" s="17" cm="1">
        <f t="array" ref="AA37">$H37 *
IF(ISNUMBER(SEARCH("Rapid",$L37)),7/6,1) *
IF(OR(ISNUMBER(SEARCH("Beam",$L37)),ISNUMBER(SEARCH("Firestorm",$L37))),1, IF(ISNUMBER(SEARCH("Blast",$L37)),(4+$F37+(2-$F37)*0.5)/6*2,(4+$F37)/6)) *
IF(ISNUMBER(SEARCH("Fusion",$L37)), _xlfn.IFS(AA$24-$I37 &lt;=1, 9/10, AA$24-$I37 &lt;=10,(11-(AA$24-$I37))/10, AA$24-$I37 &gt;=11, 0),
_xlfn.IFS(AA$24-$I37 &lt;=1, 5/6, AA$24-$I37 &lt;=5, (7-(AA$24-$I37))/6, AND(AA$24-$I37 =6,NOT(_xlfn.IFNA(ISNUMBER(SEARCH("Rending",$L37)),FALSE))), (7-(AA$24-$I37))/6, AND(AA$24-$I37 &gt;=7,NOT(_xlfn.IFNA(ISNUMBER(SEARCH("Rending",$L37)),FALSE))), 0, AA$24-$I37 =7, (7-(AA$24-1-$I37))/6, AA$24-$I37 =8, (7-(AA$24-2-$I37))/6*2/3, AA$24-$I37 =9, (7-(AA$24-3-$I37))/6*1/3, TRUE, 0)) *
IF(ISNUMBER(SEARCH("Ordinance",$L37)),7/6,1) *
IF(OR(ISNUMBER(SEARCH("Melee",$L37)),ISNUMBER(SEARCH("Bypass",$L37))),1.5,1)</f>
        <v>0</v>
      </c>
      <c r="AB37" s="17" cm="1">
        <f t="array" ref="AB37">$H37 *
IF(ISNUMBER(SEARCH("Rapid",$L37)),7/6,1) *
IF(OR(ISNUMBER(SEARCH("Beam",$L37)),ISNUMBER(SEARCH("Firestorm",$L37))),1, IF(ISNUMBER(SEARCH("Blast",$L37)),(4+$F37+(2-$F37)*0.5)/6*2,(4+$F37)/6)) *
IF(ISNUMBER(SEARCH("Fusion",$L37)), _xlfn.IFS(AB$24-$I37 &lt;=1, 9/10, AB$24-$I37 &lt;=10,(11-(AB$24-$I37))/10, AB$24-$I37 &gt;=11, 0),
_xlfn.IFS(AB$24-$I37 &lt;=1, 5/6, AB$24-$I37 &lt;=5, (7-(AB$24-$I37))/6, AND(AB$24-$I37 =6,NOT(_xlfn.IFNA(ISNUMBER(SEARCH("Rending",$L37)),FALSE))), (7-(AB$24-$I37))/6, AND(AB$24-$I37 &gt;=7,NOT(_xlfn.IFNA(ISNUMBER(SEARCH("Rending",$L37)),FALSE))), 0, AB$24-$I37 =7, (7-(AB$24-1-$I37))/6, AB$24-$I37 =8, (7-(AB$24-2-$I37))/6*2/3, AB$24-$I37 =9, (7-(AB$24-3-$I37))/6*1/3, TRUE, 0)) *
IF(ISNUMBER(SEARCH("Ordinance",$L37)),7/6,1) *
IF(OR(ISNUMBER(SEARCH("Melee",$L37)),ISNUMBER(SEARCH("Bypass",$L37))),1.5,1)</f>
        <v>0</v>
      </c>
      <c r="AC37" s="17" cm="1">
        <f t="array" ref="AC37">$H37 *
IF(ISNUMBER(SEARCH("Rapid",$L37)),7/6,1) *
IF(OR(ISNUMBER(SEARCH("Beam",$L37)),ISNUMBER(SEARCH("Firestorm",$L37))),1, IF(ISNUMBER(SEARCH("Blast",$L37)),(4+$F37+(2-$F37)*0.5)/6*2,(4+$F37)/6)) *
IF(ISNUMBER(SEARCH("Fusion",$L37)), _xlfn.IFS(AC$24-$I37 &lt;=1, 9/10, AC$24-$I37 &lt;=10,(11-(AC$24-$I37))/10, AC$24-$I37 &gt;=11, 0),
_xlfn.IFS(AC$24-$I37 &lt;=1, 5/6, AC$24-$I37 &lt;=5, (7-(AC$24-$I37))/6, AND(AC$24-$I37 =6,NOT(_xlfn.IFNA(ISNUMBER(SEARCH("Rending",$L37)),FALSE))), (7-(AC$24-$I37))/6, AND(AC$24-$I37 &gt;=7,NOT(_xlfn.IFNA(ISNUMBER(SEARCH("Rending",$L37)),FALSE))), 0, AC$24-$I37 =7, (7-(AC$24-1-$I37))/6, AC$24-$I37 =8, (7-(AC$24-2-$I37))/6*2/3, AC$24-$I37 =9, (7-(AC$24-3-$I37))/6*1/3, TRUE, 0)) *
IF(ISNUMBER(SEARCH("Ordinance",$L37)),7/6,1) *
IF(OR(ISNUMBER(SEARCH("Melee",$L37)),ISNUMBER(SEARCH("Bypass",$L37))),1.5,1)</f>
        <v>0</v>
      </c>
      <c r="AD37" s="17" cm="1">
        <f t="array" ref="AD37">$H37 *
IF(ISNUMBER(SEARCH("Rapid",$L37)),7/6,1) *
IF(OR(ISNUMBER(SEARCH("Beam",$L37)),ISNUMBER(SEARCH("Firestorm",$L37))),1, IF(ISNUMBER(SEARCH("Blast",$L37)),(4+$F37+(2-$F37)*0.5)/6*2,(4+$F37)/6)) *
IF(ISNUMBER(SEARCH("Fusion",$L37)), _xlfn.IFS(AD$24-$I37 &lt;=1, 9/10, AD$24-$I37 &lt;=10,(11-(AD$24-$I37))/10, AD$24-$I37 &gt;=11, 0),
_xlfn.IFS(AD$24-$I37 &lt;=1, 5/6, AD$24-$I37 &lt;=5, (7-(AD$24-$I37))/6, AND(AD$24-$I37 =6,NOT(_xlfn.IFNA(ISNUMBER(SEARCH("Rending",$L37)),FALSE))), (7-(AD$24-$I37))/6, AND(AD$24-$I37 &gt;=7,NOT(_xlfn.IFNA(ISNUMBER(SEARCH("Rending",$L37)),FALSE))), 0, AD$24-$I37 =7, (7-(AD$24-1-$I37))/6, AD$24-$I37 =8, (7-(AD$24-2-$I37))/6*2/3, AD$24-$I37 =9, (7-(AD$24-3-$I37))/6*1/3, TRUE, 0)) *
IF(ISNUMBER(SEARCH("Ordinance",$L37)),7/6,1) *
IF(OR(ISNUMBER(SEARCH("Melee",$L37)),ISNUMBER(SEARCH("Bypass",$L37))),1.5,1)</f>
        <v>0</v>
      </c>
      <c r="AE37" s="17" cm="1">
        <f t="array" ref="AE37">$H37 *
IF(ISNUMBER(SEARCH("Rapid",$L37)),7/6,1) *
IF(OR(ISNUMBER(SEARCH("Beam",$L37)),ISNUMBER(SEARCH("Firestorm",$L37))),1, IF(ISNUMBER(SEARCH("Blast",$L37)),(4+$F37+(2-$F37)*0.5)/6*2,(4+$F37)/6)) *
IF(ISNUMBER(SEARCH("Fusion",$L37)), _xlfn.IFS(AE$24-$I37 &lt;=1, 9/10, AE$24-$I37 &lt;=10,(11-(AE$24-$I37))/10, AE$24-$I37 &gt;=11, 0),
_xlfn.IFS(AE$24-$I37 &lt;=1, 5/6, AE$24-$I37 &lt;=5, (7-(AE$24-$I37))/6, AND(AE$24-$I37 =6,NOT(_xlfn.IFNA(ISNUMBER(SEARCH("Rending",$L37)),FALSE))), (7-(AE$24-$I37))/6, AND(AE$24-$I37 &gt;=7,NOT(_xlfn.IFNA(ISNUMBER(SEARCH("Rending",$L37)),FALSE))), 0, AE$24-$I37 =7, (7-(AE$24-1-$I37))/6, AE$24-$I37 =8, (7-(AE$24-2-$I37))/6*2/3, AE$24-$I37 =9, (7-(AE$24-3-$I37))/6*1/3, TRUE, 0)) *
IF(ISNUMBER(SEARCH("Ordinance",$L37)),7/6,1) *
IF(OR(ISNUMBER(SEARCH("Melee",$L37)),ISNUMBER(SEARCH("Bypass",$L37))),1.5,1)</f>
        <v>0</v>
      </c>
      <c r="AF37" s="17" cm="1">
        <f t="array" ref="AF37">$H37 *
IF(ISNUMBER(SEARCH("Rapid",$L37)),7/6,1) *
IF(OR(ISNUMBER(SEARCH("Beam",$L37)),ISNUMBER(SEARCH("Firestorm",$L37))),1, IF(ISNUMBER(SEARCH("Blast",$L37)),(4+$F37+(2-$F37)*0.5)/6*2,(4+$F37)/6)) *
IF(ISNUMBER(SEARCH("Fusion",$L37)), _xlfn.IFS(AF$24-$I37 &lt;=1, 9/10, AF$24-$I37 &lt;=10,(11-(AF$24-$I37))/10, AF$24-$I37 &gt;=11, 0),
_xlfn.IFS(AF$24-$I37 &lt;=1, 5/6, AF$24-$I37 &lt;=5, (7-(AF$24-$I37))/6, AND(AF$24-$I37 =6,NOT(_xlfn.IFNA(ISNUMBER(SEARCH("Rending",$L37)),FALSE))), (7-(AF$24-$I37))/6, AND(AF$24-$I37 &gt;=7,NOT(_xlfn.IFNA(ISNUMBER(SEARCH("Rending",$L37)),FALSE))), 0, AF$24-$I37 =7, (7-(AF$24-1-$I37))/6, AF$24-$I37 =8, (7-(AF$24-2-$I37))/6*2/3, AF$24-$I37 =9, (7-(AF$24-3-$I37))/6*1/3, TRUE, 0)) *
IF(ISNUMBER(SEARCH("Ordinance",$L37)),7/6,1) *
IF(OR(ISNUMBER(SEARCH("Melee",$L37)),ISNUMBER(SEARCH("Bypass",$L37))),1.5,1)</f>
        <v>0</v>
      </c>
      <c r="AG37" s="16">
        <f t="shared" si="3"/>
        <v>0</v>
      </c>
      <c r="AH37" s="16">
        <f t="shared" si="4"/>
        <v>0</v>
      </c>
      <c r="AI37" s="17" cm="1">
        <f t="array" ref="AI37">$H37 *
IF(ISNUMBER(SEARCH("Rapid",$L37)),7/6,1) *
IF(OR(ISNUMBER(SEARCH("Beam",$L37)),ISNUMBER(SEARCH("Firestorm",$L37))),1, IF(ISNUMBER(SEARCH("Blast",$L37)),(4+$G37+(2-$G37)*0.5)/6*2,(4+$G37)/6)) *
_xlfn.IFS(AI$24-$I37 &lt;=1, 5/6, AI$24-$I37 &lt;=5, (7-(AI$24-$I37))/6, AND(AI$24-$I37 =6,NOT(_xlfn.IFNA(ISNUMBER(SEARCH("Rending",$L37)),FALSE))), (7-(AI$24-$I37))/6, AND(AI$24-$I37 &gt;=7,NOT(_xlfn.IFNA(ISNUMBER(SEARCH("Rending",$L37)),FALSE))), 0, AI$24-$I37 =7, (7-(AI$24-1-$I37))/6, AI$24-$I37 =8, (7-(AI$24-2-$I37))/6*2/3, AI$24-$I37 =9, (7-(AI$24-3-$I37))/6*1/3, TRUE, 0) *
IF(ISNUMBER(SEARCH("Ordinance",$L37)),7/6,1) *
IF(OR(ISNUMBER(SEARCH("Melee",$L37)),ISNUMBER(SEARCH("Bypass",$L37))),1.5,1)</f>
        <v>0.33333333333333331</v>
      </c>
      <c r="AJ37" s="17" cm="1">
        <f t="array" ref="AJ37">$H37 *
IF(ISNUMBER(SEARCH("Rapid",$L37)),7/6,1) *
IF(OR(ISNUMBER(SEARCH("Beam",$L37)),ISNUMBER(SEARCH("Firestorm",$L37))),1, IF(ISNUMBER(SEARCH("Blast",$L37)),(4+$G37+(2-$G37)*0.5)/6*2,(4+$G37)/6)) *
_xlfn.IFS(AJ$24-$I37 &lt;=1, 5/6, AJ$24-$I37 &lt;=5, (7-(AJ$24-$I37))/6, AND(AJ$24-$I37 =6,NOT(_xlfn.IFNA(ISNUMBER(SEARCH("Rending",$L37)),FALSE))), (7-(AJ$24-$I37))/6, AND(AJ$24-$I37 &gt;=7,NOT(_xlfn.IFNA(ISNUMBER(SEARCH("Rending",$L37)),FALSE))), 0, AJ$24-$I37 =7, (7-(AJ$24-1-$I37))/6, AJ$24-$I37 =8, (7-(AJ$24-2-$I37))/6*2/3, AJ$24-$I37 =9, (7-(AJ$24-3-$I37))/6*1/3, TRUE, 0) *
IF(ISNUMBER(SEARCH("Ordinance",$L37)),7/6,1) *
IF(OR(ISNUMBER(SEARCH("Melee",$L37)),ISNUMBER(SEARCH("Bypass",$L37))),1.5,1)</f>
        <v>0.16666666666666666</v>
      </c>
      <c r="AK37" s="17" cm="1">
        <f t="array" ref="AK37">$H37 *
IF(ISNUMBER(SEARCH("Rapid",$L37)),7/6,1) *
IF(OR(ISNUMBER(SEARCH("Beam",$L37)),ISNUMBER(SEARCH("Firestorm",$L37))),1, IF(ISNUMBER(SEARCH("Blast",$L37)),(4+$G37+(2-$G37)*0.5)/6*2,(4+$G37)/6)) *
_xlfn.IFS(AK$24-$I37 &lt;=1, 5/6, AK$24-$I37 &lt;=5, (7-(AK$24-$I37))/6, AND(AK$24-$I37 =6,NOT(_xlfn.IFNA(ISNUMBER(SEARCH("Rending",$L37)),FALSE))), (7-(AK$24-$I37))/6, AND(AK$24-$I37 &gt;=7,NOT(_xlfn.IFNA(ISNUMBER(SEARCH("Rending",$L37)),FALSE))), 0, AK$24-$I37 =7, (7-(AK$24-1-$I37))/6, AK$24-$I37 =8, (7-(AK$24-2-$I37))/6*2/3, AK$24-$I37 =9, (7-(AK$24-3-$I37))/6*1/3, TRUE, 0) *
IF(ISNUMBER(SEARCH("Ordinance",$L37)),7/6,1) *
IF(OR(ISNUMBER(SEARCH("Melee",$L37)),ISNUMBER(SEARCH("Bypass",$L37))),1.5,1)</f>
        <v>0</v>
      </c>
      <c r="AL37" s="17" cm="1">
        <f t="array" ref="AL37">$H37 *
IF(ISNUMBER(SEARCH("Rapid",$L37)),7/6,1) *
IF(OR(ISNUMBER(SEARCH("Beam",$L37)),ISNUMBER(SEARCH("Firestorm",$L37))),1, IF(ISNUMBER(SEARCH("Blast",$L37)),(4+$G37+(2-$G37)*0.5)/6*2,(4+$G37)/6)) *
_xlfn.IFS(AL$24-$I37 &lt;=1, 5/6, AL$24-$I37 &lt;=5, (7-(AL$24-$I37))/6, AND(AL$24-$I37 =6,NOT(_xlfn.IFNA(ISNUMBER(SEARCH("Rending",$L37)),FALSE))), (7-(AL$24-$I37))/6, AND(AL$24-$I37 &gt;=7,NOT(_xlfn.IFNA(ISNUMBER(SEARCH("Rending",$L37)),FALSE))), 0, AL$24-$I37 =7, (7-(AL$24-1-$I37))/6, AL$24-$I37 =8, (7-(AL$24-2-$I37))/6*2/3, AL$24-$I37 =9, (7-(AL$24-3-$I37))/6*1/3, TRUE, 0) *
IF(ISNUMBER(SEARCH("Ordinance",$L37)),7/6,1) *
IF(OR(ISNUMBER(SEARCH("Melee",$L37)),ISNUMBER(SEARCH("Bypass",$L37))),1.5,1)</f>
        <v>0</v>
      </c>
      <c r="AM37" s="17" cm="1">
        <f t="array" ref="AM37">$H37 *
IF(ISNUMBER(SEARCH("Rapid",$L37)),7/6,1) *
IF(OR(ISNUMBER(SEARCH("Beam",$L37)),ISNUMBER(SEARCH("Firestorm",$L37))),1, IF(ISNUMBER(SEARCH("Blast",$L37)),(4+$G37+(2-$G37)*0.5)/6*2,(4+$G37)/6)) *
_xlfn.IFS(AM$24-$I37 &lt;=1, 5/6, AM$24-$I37 &lt;=5, (7-(AM$24-$I37))/6, AND(AM$24-$I37 =6,NOT(_xlfn.IFNA(ISNUMBER(SEARCH("Rending",$L37)),FALSE))), (7-(AM$24-$I37))/6, AND(AM$24-$I37 &gt;=7,NOT(_xlfn.IFNA(ISNUMBER(SEARCH("Rending",$L37)),FALSE))), 0, AM$24-$I37 =7, (7-(AM$24-1-$I37))/6, AM$24-$I37 =8, (7-(AM$24-2-$I37))/6*2/3, AM$24-$I37 =9, (7-(AM$24-3-$I37))/6*1/3, TRUE, 0) *
IF(ISNUMBER(SEARCH("Ordinance",$L37)),7/6,1) *
IF(OR(ISNUMBER(SEARCH("Melee",$L37)),ISNUMBER(SEARCH("Bypass",$L37))),1.5,1)</f>
        <v>0</v>
      </c>
      <c r="AN37" s="17" cm="1">
        <f t="array" ref="AN37">$H37 *
IF(ISNUMBER(SEARCH("Rapid",$L37)),7/6,1) *
IF(OR(ISNUMBER(SEARCH("Beam",$L37)),ISNUMBER(SEARCH("Firestorm",$L37))),1, IF(ISNUMBER(SEARCH("Blast",$L37)),(4+$G37+(2-$G37)*0.5)/6*2,(4+$G37)/6)) *
_xlfn.IFS(AN$24-$I37 &lt;=1, 5/6, AN$24-$I37 &lt;=5, (7-(AN$24-$I37))/6, AND(AN$24-$I37 =6,NOT(_xlfn.IFNA(ISNUMBER(SEARCH("Rending",$L37)),FALSE))), (7-(AN$24-$I37))/6, AND(AN$24-$I37 &gt;=7,NOT(_xlfn.IFNA(ISNUMBER(SEARCH("Rending",$L37)),FALSE))), 0, AN$24-$I37 =7, (7-(AN$24-1-$I37))/6, AN$24-$I37 =8, (7-(AN$24-2-$I37))/6*2/3, AN$24-$I37 =9, (7-(AN$24-3-$I37))/6*1/3, TRUE, 0) *
IF(ISNUMBER(SEARCH("Ordinance",$L37)),7/6,1) *
IF(OR(ISNUMBER(SEARCH("Melee",$L37)),ISNUMBER(SEARCH("Bypass",$L37))),1.5,1)</f>
        <v>0</v>
      </c>
      <c r="AO37" s="17" cm="1">
        <f t="array" ref="AO37">$H37 *
IF(ISNUMBER(SEARCH("Rapid",$L37)),7/6,1) *
IF(OR(ISNUMBER(SEARCH("Beam",$L37)),ISNUMBER(SEARCH("Firestorm",$L37))),1, IF(ISNUMBER(SEARCH("Blast",$L37)),(4+$G37+(2-$G37)*0.5)/6*2,(4+$G37)/6)) *
_xlfn.IFS(AO$24-$I37 &lt;=1, 5/6, AO$24-$I37 &lt;=5, (7-(AO$24-$I37))/6, AND(AO$24-$I37 =6,NOT(_xlfn.IFNA(ISNUMBER(SEARCH("Rending",$L37)),FALSE))), (7-(AO$24-$I37))/6, AND(AO$24-$I37 &gt;=7,NOT(_xlfn.IFNA(ISNUMBER(SEARCH("Rending",$L37)),FALSE))), 0, AO$24-$I37 =7, (7-(AO$24-1-$I37))/6, AO$24-$I37 =8, (7-(AO$24-2-$I37))/6*2/3, AO$24-$I37 =9, (7-(AO$24-3-$I37))/6*1/3, TRUE, 0) *
IF(ISNUMBER(SEARCH("Ordinance",$L37)),7/6,1) *
IF(OR(ISNUMBER(SEARCH("Melee",$L37)),ISNUMBER(SEARCH("Bypass",$L37))),1.5,1)</f>
        <v>0</v>
      </c>
      <c r="AP37" s="17" cm="1">
        <f t="array" ref="AP37">$H37 *
IF(ISNUMBER(SEARCH("Rapid",$L37)),7/6,1) *
IF(OR(ISNUMBER(SEARCH("Beam",$L37)),ISNUMBER(SEARCH("Firestorm",$L37))),1, IF(ISNUMBER(SEARCH("Blast",$L37)),(4+$G37+(2-$G37)*0.5)/6*2,(4+$G37)/6)) *
_xlfn.IFS(AP$24-$I37 &lt;=1, 5/6, AP$24-$I37 &lt;=5, (7-(AP$24-$I37))/6, AND(AP$24-$I37 =6,NOT(_xlfn.IFNA(ISNUMBER(SEARCH("Rending",$L37)),FALSE))), (7-(AP$24-$I37))/6, AND(AP$24-$I37 &gt;=7,NOT(_xlfn.IFNA(ISNUMBER(SEARCH("Rending",$L37)),FALSE))), 0, AP$24-$I37 =7, (7-(AP$24-1-$I37))/6, AP$24-$I37 =8, (7-(AP$24-2-$I37))/6*2/3, AP$24-$I37 =9, (7-(AP$24-3-$I37))/6*1/3, TRUE, 0) *
IF(ISNUMBER(SEARCH("Ordinance",$L37)),7/6,1) *
IF(OR(ISNUMBER(SEARCH("Melee",$L37)),ISNUMBER(SEARCH("Bypass",$L37))),1.5,1)</f>
        <v>0</v>
      </c>
      <c r="AQ37" s="17" cm="1">
        <f t="array" ref="AQ37">$H37 *
IF(ISNUMBER(SEARCH("Rapid",$L37)),7/6,1) *
IF(OR(ISNUMBER(SEARCH("Beam",$L37)),ISNUMBER(SEARCH("Firestorm",$L37))),1, IF(ISNUMBER(SEARCH("Blast",$L37)),(4+$G37+(2-$G37)*0.5)/6*2,(4+$G37)/6)) *
_xlfn.IFS(AQ$24-$I37 &lt;=1, 5/6, AQ$24-$I37 &lt;=5, (7-(AQ$24-$I37))/6, AND(AQ$24-$I37 =6,NOT(_xlfn.IFNA(ISNUMBER(SEARCH("Rending",$L37)),FALSE))), (7-(AQ$24-$I37))/6, AND(AQ$24-$I37 &gt;=7,NOT(_xlfn.IFNA(ISNUMBER(SEARCH("Rending",$L37)),FALSE))), 0, AQ$24-$I37 =7, (7-(AQ$24-1-$I37))/6, AQ$24-$I37 =8, (7-(AQ$24-2-$I37))/6*2/3, AQ$24-$I37 =9, (7-(AQ$24-3-$I37))/6*1/3, TRUE, 0) *
IF(ISNUMBER(SEARCH("Ordinance",$L37)),7/6,1) *
IF(OR(ISNUMBER(SEARCH("Melee",$L37)),ISNUMBER(SEARCH("Bypass",$L37))),1.5,1)</f>
        <v>0</v>
      </c>
      <c r="AS37" s="16">
        <f t="shared" si="5"/>
        <v>0</v>
      </c>
      <c r="AT37" s="16">
        <f t="shared" si="6"/>
        <v>0</v>
      </c>
      <c r="AU37" s="16">
        <f t="shared" si="0"/>
        <v>0.19166666666666665</v>
      </c>
      <c r="AV37" s="2">
        <v>9</v>
      </c>
    </row>
    <row r="38" spans="1:48" x14ac:dyDescent="0.3">
      <c r="A38" t="s">
        <v>179</v>
      </c>
      <c r="B38" s="3">
        <v>12</v>
      </c>
      <c r="C38" s="3">
        <v>20</v>
      </c>
      <c r="D38" s="3">
        <v>1</v>
      </c>
      <c r="E38" s="3">
        <v>1</v>
      </c>
      <c r="F38" s="10"/>
      <c r="G38" s="10">
        <v>-1</v>
      </c>
      <c r="H38" s="3">
        <v>3</v>
      </c>
      <c r="I38" s="3">
        <v>5</v>
      </c>
      <c r="J38" s="3" t="s">
        <v>198</v>
      </c>
      <c r="K38" s="3">
        <v>20</v>
      </c>
      <c r="L38" s="3" t="s">
        <v>658</v>
      </c>
      <c r="M38" s="3" t="s">
        <v>199</v>
      </c>
      <c r="N38" s="3">
        <v>9</v>
      </c>
      <c r="O38" s="3">
        <v>9</v>
      </c>
      <c r="P38" s="3">
        <v>13</v>
      </c>
      <c r="Q38" s="3" t="s">
        <v>200</v>
      </c>
      <c r="R38" s="3">
        <v>7</v>
      </c>
      <c r="S38" s="3">
        <v>9</v>
      </c>
      <c r="T38" s="3">
        <v>4</v>
      </c>
      <c r="V38" s="16">
        <f t="shared" si="1"/>
        <v>1.63</v>
      </c>
      <c r="W38" s="16">
        <f t="shared" si="2"/>
        <v>2.4449999999999998</v>
      </c>
      <c r="X38" s="17" cm="1">
        <f t="array" ref="X38">$H38 *
IF(ISNUMBER(SEARCH("Rapid",$L38)),7/6,1) *
IF(OR(ISNUMBER(SEARCH("Beam",$L38)),ISNUMBER(SEARCH("Firestorm",$L38))),1, IF(ISNUMBER(SEARCH("Blast",$L38)),(4+$F38+(2-$F38)*0.5)/6*2,(4+$F38)/6)) *
IF(ISNUMBER(SEARCH("Fusion",$L38)), _xlfn.IFS(X$24-$I38 &lt;=1, 9/10, X$24-$I38 &lt;=10,(11-(X$24-$I38))/10, X$24-$I38 &gt;=11, 0),
_xlfn.IFS(X$24-$I38 &lt;=1, 5/6, X$24-$I38 &lt;=5, (7-(X$24-$I38))/6, AND(X$24-$I38 =6,NOT(_xlfn.IFNA(ISNUMBER(SEARCH("Rending",$L38)),FALSE))), (7-(X$24-$I38))/6, AND(X$24-$I38 &gt;=7,NOT(_xlfn.IFNA(ISNUMBER(SEARCH("Rending",$L38)),FALSE))), 0, X$24-$I38 =7, (7-(X$24-1-$I38))/6, X$24-$I38 =8, (7-(X$24-2-$I38))/6*2/3, X$24-$I38 =9, (7-(X$24-3-$I38))/6*1/3, TRUE, 0)) *
IF(ISNUMBER(SEARCH("Ordinance",$L38)),7/6,1) *
IF(OR(ISNUMBER(SEARCH("Melee",$L38)),ISNUMBER(SEARCH("Bypass",$L38))),1.5,1)</f>
        <v>1.5</v>
      </c>
      <c r="Y38" s="17" cm="1">
        <f t="array" ref="Y38">$H38 *
IF(ISNUMBER(SEARCH("Rapid",$L38)),7/6,1) *
IF(OR(ISNUMBER(SEARCH("Beam",$L38)),ISNUMBER(SEARCH("Firestorm",$L38))),1, IF(ISNUMBER(SEARCH("Blast",$L38)),(4+$F38+(2-$F38)*0.5)/6*2,(4+$F38)/6)) *
IF(ISNUMBER(SEARCH("Fusion",$L38)), _xlfn.IFS(Y$24-$I38 &lt;=1, 9/10, Y$24-$I38 &lt;=10,(11-(Y$24-$I38))/10, Y$24-$I38 &gt;=11, 0),
_xlfn.IFS(Y$24-$I38 &lt;=1, 5/6, Y$24-$I38 &lt;=5, (7-(Y$24-$I38))/6, AND(Y$24-$I38 =6,NOT(_xlfn.IFNA(ISNUMBER(SEARCH("Rending",$L38)),FALSE))), (7-(Y$24-$I38))/6, AND(Y$24-$I38 &gt;=7,NOT(_xlfn.IFNA(ISNUMBER(SEARCH("Rending",$L38)),FALSE))), 0, Y$24-$I38 =7, (7-(Y$24-1-$I38))/6, Y$24-$I38 =8, (7-(Y$24-2-$I38))/6*2/3, Y$24-$I38 =9, (7-(Y$24-3-$I38))/6*1/3, TRUE, 0)) *
IF(ISNUMBER(SEARCH("Ordinance",$L38)),7/6,1) *
IF(OR(ISNUMBER(SEARCH("Melee",$L38)),ISNUMBER(SEARCH("Bypass",$L38))),1.5,1)</f>
        <v>1</v>
      </c>
      <c r="Z38" s="17" cm="1">
        <f t="array" ref="Z38">$H38 *
IF(ISNUMBER(SEARCH("Rapid",$L38)),7/6,1) *
IF(OR(ISNUMBER(SEARCH("Beam",$L38)),ISNUMBER(SEARCH("Firestorm",$L38))),1, IF(ISNUMBER(SEARCH("Blast",$L38)),(4+$F38+(2-$F38)*0.5)/6*2,(4+$F38)/6)) *
IF(ISNUMBER(SEARCH("Fusion",$L38)), _xlfn.IFS(Z$24-$I38 &lt;=1, 9/10, Z$24-$I38 &lt;=10,(11-(Z$24-$I38))/10, Z$24-$I38 &gt;=11, 0),
_xlfn.IFS(Z$24-$I38 &lt;=1, 5/6, Z$24-$I38 &lt;=5, (7-(Z$24-$I38))/6, AND(Z$24-$I38 =6,NOT(_xlfn.IFNA(ISNUMBER(SEARCH("Rending",$L38)),FALSE))), (7-(Z$24-$I38))/6, AND(Z$24-$I38 &gt;=7,NOT(_xlfn.IFNA(ISNUMBER(SEARCH("Rending",$L38)),FALSE))), 0, Z$24-$I38 =7, (7-(Z$24-1-$I38))/6, Z$24-$I38 =8, (7-(Z$24-2-$I38))/6*2/3, Z$24-$I38 =9, (7-(Z$24-3-$I38))/6*1/3, TRUE, 0)) *
IF(ISNUMBER(SEARCH("Ordinance",$L38)),7/6,1) *
IF(OR(ISNUMBER(SEARCH("Melee",$L38)),ISNUMBER(SEARCH("Bypass",$L38))),1.5,1)</f>
        <v>0.5</v>
      </c>
      <c r="AA38" s="17" cm="1">
        <f t="array" ref="AA38">$H38 *
IF(ISNUMBER(SEARCH("Rapid",$L38)),7/6,1) *
IF(OR(ISNUMBER(SEARCH("Beam",$L38)),ISNUMBER(SEARCH("Firestorm",$L38))),1, IF(ISNUMBER(SEARCH("Blast",$L38)),(4+$F38+(2-$F38)*0.5)/6*2,(4+$F38)/6)) *
IF(ISNUMBER(SEARCH("Fusion",$L38)), _xlfn.IFS(AA$24-$I38 &lt;=1, 9/10, AA$24-$I38 &lt;=10,(11-(AA$24-$I38))/10, AA$24-$I38 &gt;=11, 0),
_xlfn.IFS(AA$24-$I38 &lt;=1, 5/6, AA$24-$I38 &lt;=5, (7-(AA$24-$I38))/6, AND(AA$24-$I38 =6,NOT(_xlfn.IFNA(ISNUMBER(SEARCH("Rending",$L38)),FALSE))), (7-(AA$24-$I38))/6, AND(AA$24-$I38 &gt;=7,NOT(_xlfn.IFNA(ISNUMBER(SEARCH("Rending",$L38)),FALSE))), 0, AA$24-$I38 =7, (7-(AA$24-1-$I38))/6, AA$24-$I38 =8, (7-(AA$24-2-$I38))/6*2/3, AA$24-$I38 =9, (7-(AA$24-3-$I38))/6*1/3, TRUE, 0)) *
IF(ISNUMBER(SEARCH("Ordinance",$L38)),7/6,1) *
IF(OR(ISNUMBER(SEARCH("Melee",$L38)),ISNUMBER(SEARCH("Bypass",$L38))),1.5,1)</f>
        <v>0</v>
      </c>
      <c r="AB38" s="17" cm="1">
        <f t="array" ref="AB38">$H38 *
IF(ISNUMBER(SEARCH("Rapid",$L38)),7/6,1) *
IF(OR(ISNUMBER(SEARCH("Beam",$L38)),ISNUMBER(SEARCH("Firestorm",$L38))),1, IF(ISNUMBER(SEARCH("Blast",$L38)),(4+$F38+(2-$F38)*0.5)/6*2,(4+$F38)/6)) *
IF(ISNUMBER(SEARCH("Fusion",$L38)), _xlfn.IFS(AB$24-$I38 &lt;=1, 9/10, AB$24-$I38 &lt;=10,(11-(AB$24-$I38))/10, AB$24-$I38 &gt;=11, 0),
_xlfn.IFS(AB$24-$I38 &lt;=1, 5/6, AB$24-$I38 &lt;=5, (7-(AB$24-$I38))/6, AND(AB$24-$I38 =6,NOT(_xlfn.IFNA(ISNUMBER(SEARCH("Rending",$L38)),FALSE))), (7-(AB$24-$I38))/6, AND(AB$24-$I38 &gt;=7,NOT(_xlfn.IFNA(ISNUMBER(SEARCH("Rending",$L38)),FALSE))), 0, AB$24-$I38 =7, (7-(AB$24-1-$I38))/6, AB$24-$I38 =8, (7-(AB$24-2-$I38))/6*2/3, AB$24-$I38 =9, (7-(AB$24-3-$I38))/6*1/3, TRUE, 0)) *
IF(ISNUMBER(SEARCH("Ordinance",$L38)),7/6,1) *
IF(OR(ISNUMBER(SEARCH("Melee",$L38)),ISNUMBER(SEARCH("Bypass",$L38))),1.5,1)</f>
        <v>0</v>
      </c>
      <c r="AC38" s="17" cm="1">
        <f t="array" ref="AC38">$H38 *
IF(ISNUMBER(SEARCH("Rapid",$L38)),7/6,1) *
IF(OR(ISNUMBER(SEARCH("Beam",$L38)),ISNUMBER(SEARCH("Firestorm",$L38))),1, IF(ISNUMBER(SEARCH("Blast",$L38)),(4+$F38+(2-$F38)*0.5)/6*2,(4+$F38)/6)) *
IF(ISNUMBER(SEARCH("Fusion",$L38)), _xlfn.IFS(AC$24-$I38 &lt;=1, 9/10, AC$24-$I38 &lt;=10,(11-(AC$24-$I38))/10, AC$24-$I38 &gt;=11, 0),
_xlfn.IFS(AC$24-$I38 &lt;=1, 5/6, AC$24-$I38 &lt;=5, (7-(AC$24-$I38))/6, AND(AC$24-$I38 =6,NOT(_xlfn.IFNA(ISNUMBER(SEARCH("Rending",$L38)),FALSE))), (7-(AC$24-$I38))/6, AND(AC$24-$I38 &gt;=7,NOT(_xlfn.IFNA(ISNUMBER(SEARCH("Rending",$L38)),FALSE))), 0, AC$24-$I38 =7, (7-(AC$24-1-$I38))/6, AC$24-$I38 =8, (7-(AC$24-2-$I38))/6*2/3, AC$24-$I38 =9, (7-(AC$24-3-$I38))/6*1/3, TRUE, 0)) *
IF(ISNUMBER(SEARCH("Ordinance",$L38)),7/6,1) *
IF(OR(ISNUMBER(SEARCH("Melee",$L38)),ISNUMBER(SEARCH("Bypass",$L38))),1.5,1)</f>
        <v>0</v>
      </c>
      <c r="AD38" s="17" cm="1">
        <f t="array" ref="AD38">$H38 *
IF(ISNUMBER(SEARCH("Rapid",$L38)),7/6,1) *
IF(OR(ISNUMBER(SEARCH("Beam",$L38)),ISNUMBER(SEARCH("Firestorm",$L38))),1, IF(ISNUMBER(SEARCH("Blast",$L38)),(4+$F38+(2-$F38)*0.5)/6*2,(4+$F38)/6)) *
IF(ISNUMBER(SEARCH("Fusion",$L38)), _xlfn.IFS(AD$24-$I38 &lt;=1, 9/10, AD$24-$I38 &lt;=10,(11-(AD$24-$I38))/10, AD$24-$I38 &gt;=11, 0),
_xlfn.IFS(AD$24-$I38 &lt;=1, 5/6, AD$24-$I38 &lt;=5, (7-(AD$24-$I38))/6, AND(AD$24-$I38 =6,NOT(_xlfn.IFNA(ISNUMBER(SEARCH("Rending",$L38)),FALSE))), (7-(AD$24-$I38))/6, AND(AD$24-$I38 &gt;=7,NOT(_xlfn.IFNA(ISNUMBER(SEARCH("Rending",$L38)),FALSE))), 0, AD$24-$I38 =7, (7-(AD$24-1-$I38))/6, AD$24-$I38 =8, (7-(AD$24-2-$I38))/6*2/3, AD$24-$I38 =9, (7-(AD$24-3-$I38))/6*1/3, TRUE, 0)) *
IF(ISNUMBER(SEARCH("Ordinance",$L38)),7/6,1) *
IF(OR(ISNUMBER(SEARCH("Melee",$L38)),ISNUMBER(SEARCH("Bypass",$L38))),1.5,1)</f>
        <v>0</v>
      </c>
      <c r="AE38" s="17" cm="1">
        <f t="array" ref="AE38">$H38 *
IF(ISNUMBER(SEARCH("Rapid",$L38)),7/6,1) *
IF(OR(ISNUMBER(SEARCH("Beam",$L38)),ISNUMBER(SEARCH("Firestorm",$L38))),1, IF(ISNUMBER(SEARCH("Blast",$L38)),(4+$F38+(2-$F38)*0.5)/6*2,(4+$F38)/6)) *
IF(ISNUMBER(SEARCH("Fusion",$L38)), _xlfn.IFS(AE$24-$I38 &lt;=1, 9/10, AE$24-$I38 &lt;=10,(11-(AE$24-$I38))/10, AE$24-$I38 &gt;=11, 0),
_xlfn.IFS(AE$24-$I38 &lt;=1, 5/6, AE$24-$I38 &lt;=5, (7-(AE$24-$I38))/6, AND(AE$24-$I38 =6,NOT(_xlfn.IFNA(ISNUMBER(SEARCH("Rending",$L38)),FALSE))), (7-(AE$24-$I38))/6, AND(AE$24-$I38 &gt;=7,NOT(_xlfn.IFNA(ISNUMBER(SEARCH("Rending",$L38)),FALSE))), 0, AE$24-$I38 =7, (7-(AE$24-1-$I38))/6, AE$24-$I38 =8, (7-(AE$24-2-$I38))/6*2/3, AE$24-$I38 =9, (7-(AE$24-3-$I38))/6*1/3, TRUE, 0)) *
IF(ISNUMBER(SEARCH("Ordinance",$L38)),7/6,1) *
IF(OR(ISNUMBER(SEARCH("Melee",$L38)),ISNUMBER(SEARCH("Bypass",$L38))),1.5,1)</f>
        <v>0</v>
      </c>
      <c r="AF38" s="17" cm="1">
        <f t="array" ref="AF38">$H38 *
IF(ISNUMBER(SEARCH("Rapid",$L38)),7/6,1) *
IF(OR(ISNUMBER(SEARCH("Beam",$L38)),ISNUMBER(SEARCH("Firestorm",$L38))),1, IF(ISNUMBER(SEARCH("Blast",$L38)),(4+$F38+(2-$F38)*0.5)/6*2,(4+$F38)/6)) *
IF(ISNUMBER(SEARCH("Fusion",$L38)), _xlfn.IFS(AF$24-$I38 &lt;=1, 9/10, AF$24-$I38 &lt;=10,(11-(AF$24-$I38))/10, AF$24-$I38 &gt;=11, 0),
_xlfn.IFS(AF$24-$I38 &lt;=1, 5/6, AF$24-$I38 &lt;=5, (7-(AF$24-$I38))/6, AND(AF$24-$I38 =6,NOT(_xlfn.IFNA(ISNUMBER(SEARCH("Rending",$L38)),FALSE))), (7-(AF$24-$I38))/6, AND(AF$24-$I38 &gt;=7,NOT(_xlfn.IFNA(ISNUMBER(SEARCH("Rending",$L38)),FALSE))), 0, AF$24-$I38 =7, (7-(AF$24-1-$I38))/6, AF$24-$I38 =8, (7-(AF$24-2-$I38))/6*2/3, AF$24-$I38 =9, (7-(AF$24-3-$I38))/6*1/3, TRUE, 0)) *
IF(ISNUMBER(SEARCH("Ordinance",$L38)),7/6,1) *
IF(OR(ISNUMBER(SEARCH("Melee",$L38)),ISNUMBER(SEARCH("Bypass",$L38))),1.5,1)</f>
        <v>0</v>
      </c>
      <c r="AG38" s="16">
        <f t="shared" si="3"/>
        <v>1.63</v>
      </c>
      <c r="AH38" s="16">
        <f t="shared" si="4"/>
        <v>2.4449999999999998</v>
      </c>
      <c r="AI38" s="17" cm="1">
        <f t="array" ref="AI38">$H38 *
IF(ISNUMBER(SEARCH("Rapid",$L38)),7/6,1) *
IF(OR(ISNUMBER(SEARCH("Beam",$L38)),ISNUMBER(SEARCH("Firestorm",$L38))),1, IF(ISNUMBER(SEARCH("Blast",$L38)),(4+$G38+(2-$G38)*0.5)/6*2,(4+$G38)/6)) *
_xlfn.IFS(AI$24-$I38 &lt;=1, 5/6, AI$24-$I38 &lt;=5, (7-(AI$24-$I38))/6, AND(AI$24-$I38 =6,NOT(_xlfn.IFNA(ISNUMBER(SEARCH("Rending",$L38)),FALSE))), (7-(AI$24-$I38))/6, AND(AI$24-$I38 &gt;=7,NOT(_xlfn.IFNA(ISNUMBER(SEARCH("Rending",$L38)),FALSE))), 0, AI$24-$I38 =7, (7-(AI$24-1-$I38))/6, AI$24-$I38 =8, (7-(AI$24-2-$I38))/6*2/3, AI$24-$I38 =9, (7-(AI$24-3-$I38))/6*1/3, TRUE, 0) *
IF(ISNUMBER(SEARCH("Ordinance",$L38)),7/6,1) *
IF(OR(ISNUMBER(SEARCH("Melee",$L38)),ISNUMBER(SEARCH("Bypass",$L38))),1.5,1)</f>
        <v>1.5</v>
      </c>
      <c r="AJ38" s="17" cm="1">
        <f t="array" ref="AJ38">$H38 *
IF(ISNUMBER(SEARCH("Rapid",$L38)),7/6,1) *
IF(OR(ISNUMBER(SEARCH("Beam",$L38)),ISNUMBER(SEARCH("Firestorm",$L38))),1, IF(ISNUMBER(SEARCH("Blast",$L38)),(4+$G38+(2-$G38)*0.5)/6*2,(4+$G38)/6)) *
_xlfn.IFS(AJ$24-$I38 &lt;=1, 5/6, AJ$24-$I38 &lt;=5, (7-(AJ$24-$I38))/6, AND(AJ$24-$I38 =6,NOT(_xlfn.IFNA(ISNUMBER(SEARCH("Rending",$L38)),FALSE))), (7-(AJ$24-$I38))/6, AND(AJ$24-$I38 &gt;=7,NOT(_xlfn.IFNA(ISNUMBER(SEARCH("Rending",$L38)),FALSE))), 0, AJ$24-$I38 =7, (7-(AJ$24-1-$I38))/6, AJ$24-$I38 =8, (7-(AJ$24-2-$I38))/6*2/3, AJ$24-$I38 =9, (7-(AJ$24-3-$I38))/6*1/3, TRUE, 0) *
IF(ISNUMBER(SEARCH("Ordinance",$L38)),7/6,1) *
IF(OR(ISNUMBER(SEARCH("Melee",$L38)),ISNUMBER(SEARCH("Bypass",$L38))),1.5,1)</f>
        <v>1</v>
      </c>
      <c r="AK38" s="17" cm="1">
        <f t="array" ref="AK38">$H38 *
IF(ISNUMBER(SEARCH("Rapid",$L38)),7/6,1) *
IF(OR(ISNUMBER(SEARCH("Beam",$L38)),ISNUMBER(SEARCH("Firestorm",$L38))),1, IF(ISNUMBER(SEARCH("Blast",$L38)),(4+$G38+(2-$G38)*0.5)/6*2,(4+$G38)/6)) *
_xlfn.IFS(AK$24-$I38 &lt;=1, 5/6, AK$24-$I38 &lt;=5, (7-(AK$24-$I38))/6, AND(AK$24-$I38 =6,NOT(_xlfn.IFNA(ISNUMBER(SEARCH("Rending",$L38)),FALSE))), (7-(AK$24-$I38))/6, AND(AK$24-$I38 &gt;=7,NOT(_xlfn.IFNA(ISNUMBER(SEARCH("Rending",$L38)),FALSE))), 0, AK$24-$I38 =7, (7-(AK$24-1-$I38))/6, AK$24-$I38 =8, (7-(AK$24-2-$I38))/6*2/3, AK$24-$I38 =9, (7-(AK$24-3-$I38))/6*1/3, TRUE, 0) *
IF(ISNUMBER(SEARCH("Ordinance",$L38)),7/6,1) *
IF(OR(ISNUMBER(SEARCH("Melee",$L38)),ISNUMBER(SEARCH("Bypass",$L38))),1.5,1)</f>
        <v>0.5</v>
      </c>
      <c r="AL38" s="17" cm="1">
        <f t="array" ref="AL38">$H38 *
IF(ISNUMBER(SEARCH("Rapid",$L38)),7/6,1) *
IF(OR(ISNUMBER(SEARCH("Beam",$L38)),ISNUMBER(SEARCH("Firestorm",$L38))),1, IF(ISNUMBER(SEARCH("Blast",$L38)),(4+$G38+(2-$G38)*0.5)/6*2,(4+$G38)/6)) *
_xlfn.IFS(AL$24-$I38 &lt;=1, 5/6, AL$24-$I38 &lt;=5, (7-(AL$24-$I38))/6, AND(AL$24-$I38 =6,NOT(_xlfn.IFNA(ISNUMBER(SEARCH("Rending",$L38)),FALSE))), (7-(AL$24-$I38))/6, AND(AL$24-$I38 &gt;=7,NOT(_xlfn.IFNA(ISNUMBER(SEARCH("Rending",$L38)),FALSE))), 0, AL$24-$I38 =7, (7-(AL$24-1-$I38))/6, AL$24-$I38 =8, (7-(AL$24-2-$I38))/6*2/3, AL$24-$I38 =9, (7-(AL$24-3-$I38))/6*1/3, TRUE, 0) *
IF(ISNUMBER(SEARCH("Ordinance",$L38)),7/6,1) *
IF(OR(ISNUMBER(SEARCH("Melee",$L38)),ISNUMBER(SEARCH("Bypass",$L38))),1.5,1)</f>
        <v>0</v>
      </c>
      <c r="AM38" s="17" cm="1">
        <f t="array" ref="AM38">$H38 *
IF(ISNUMBER(SEARCH("Rapid",$L38)),7/6,1) *
IF(OR(ISNUMBER(SEARCH("Beam",$L38)),ISNUMBER(SEARCH("Firestorm",$L38))),1, IF(ISNUMBER(SEARCH("Blast",$L38)),(4+$G38+(2-$G38)*0.5)/6*2,(4+$G38)/6)) *
_xlfn.IFS(AM$24-$I38 &lt;=1, 5/6, AM$24-$I38 &lt;=5, (7-(AM$24-$I38))/6, AND(AM$24-$I38 =6,NOT(_xlfn.IFNA(ISNUMBER(SEARCH("Rending",$L38)),FALSE))), (7-(AM$24-$I38))/6, AND(AM$24-$I38 &gt;=7,NOT(_xlfn.IFNA(ISNUMBER(SEARCH("Rending",$L38)),FALSE))), 0, AM$24-$I38 =7, (7-(AM$24-1-$I38))/6, AM$24-$I38 =8, (7-(AM$24-2-$I38))/6*2/3, AM$24-$I38 =9, (7-(AM$24-3-$I38))/6*1/3, TRUE, 0) *
IF(ISNUMBER(SEARCH("Ordinance",$L38)),7/6,1) *
IF(OR(ISNUMBER(SEARCH("Melee",$L38)),ISNUMBER(SEARCH("Bypass",$L38))),1.5,1)</f>
        <v>0</v>
      </c>
      <c r="AN38" s="17" cm="1">
        <f t="array" ref="AN38">$H38 *
IF(ISNUMBER(SEARCH("Rapid",$L38)),7/6,1) *
IF(OR(ISNUMBER(SEARCH("Beam",$L38)),ISNUMBER(SEARCH("Firestorm",$L38))),1, IF(ISNUMBER(SEARCH("Blast",$L38)),(4+$G38+(2-$G38)*0.5)/6*2,(4+$G38)/6)) *
_xlfn.IFS(AN$24-$I38 &lt;=1, 5/6, AN$24-$I38 &lt;=5, (7-(AN$24-$I38))/6, AND(AN$24-$I38 =6,NOT(_xlfn.IFNA(ISNUMBER(SEARCH("Rending",$L38)),FALSE))), (7-(AN$24-$I38))/6, AND(AN$24-$I38 &gt;=7,NOT(_xlfn.IFNA(ISNUMBER(SEARCH("Rending",$L38)),FALSE))), 0, AN$24-$I38 =7, (7-(AN$24-1-$I38))/6, AN$24-$I38 =8, (7-(AN$24-2-$I38))/6*2/3, AN$24-$I38 =9, (7-(AN$24-3-$I38))/6*1/3, TRUE, 0) *
IF(ISNUMBER(SEARCH("Ordinance",$L38)),7/6,1) *
IF(OR(ISNUMBER(SEARCH("Melee",$L38)),ISNUMBER(SEARCH("Bypass",$L38))),1.5,1)</f>
        <v>0</v>
      </c>
      <c r="AO38" s="17" cm="1">
        <f t="array" ref="AO38">$H38 *
IF(ISNUMBER(SEARCH("Rapid",$L38)),7/6,1) *
IF(OR(ISNUMBER(SEARCH("Beam",$L38)),ISNUMBER(SEARCH("Firestorm",$L38))),1, IF(ISNUMBER(SEARCH("Blast",$L38)),(4+$G38+(2-$G38)*0.5)/6*2,(4+$G38)/6)) *
_xlfn.IFS(AO$24-$I38 &lt;=1, 5/6, AO$24-$I38 &lt;=5, (7-(AO$24-$I38))/6, AND(AO$24-$I38 =6,NOT(_xlfn.IFNA(ISNUMBER(SEARCH("Rending",$L38)),FALSE))), (7-(AO$24-$I38))/6, AND(AO$24-$I38 &gt;=7,NOT(_xlfn.IFNA(ISNUMBER(SEARCH("Rending",$L38)),FALSE))), 0, AO$24-$I38 =7, (7-(AO$24-1-$I38))/6, AO$24-$I38 =8, (7-(AO$24-2-$I38))/6*2/3, AO$24-$I38 =9, (7-(AO$24-3-$I38))/6*1/3, TRUE, 0) *
IF(ISNUMBER(SEARCH("Ordinance",$L38)),7/6,1) *
IF(OR(ISNUMBER(SEARCH("Melee",$L38)),ISNUMBER(SEARCH("Bypass",$L38))),1.5,1)</f>
        <v>0</v>
      </c>
      <c r="AP38" s="17" cm="1">
        <f t="array" ref="AP38">$H38 *
IF(ISNUMBER(SEARCH("Rapid",$L38)),7/6,1) *
IF(OR(ISNUMBER(SEARCH("Beam",$L38)),ISNUMBER(SEARCH("Firestorm",$L38))),1, IF(ISNUMBER(SEARCH("Blast",$L38)),(4+$G38+(2-$G38)*0.5)/6*2,(4+$G38)/6)) *
_xlfn.IFS(AP$24-$I38 &lt;=1, 5/6, AP$24-$I38 &lt;=5, (7-(AP$24-$I38))/6, AND(AP$24-$I38 =6,NOT(_xlfn.IFNA(ISNUMBER(SEARCH("Rending",$L38)),FALSE))), (7-(AP$24-$I38))/6, AND(AP$24-$I38 &gt;=7,NOT(_xlfn.IFNA(ISNUMBER(SEARCH("Rending",$L38)),FALSE))), 0, AP$24-$I38 =7, (7-(AP$24-1-$I38))/6, AP$24-$I38 =8, (7-(AP$24-2-$I38))/6*2/3, AP$24-$I38 =9, (7-(AP$24-3-$I38))/6*1/3, TRUE, 0) *
IF(ISNUMBER(SEARCH("Ordinance",$L38)),7/6,1) *
IF(OR(ISNUMBER(SEARCH("Melee",$L38)),ISNUMBER(SEARCH("Bypass",$L38))),1.5,1)</f>
        <v>0</v>
      </c>
      <c r="AQ38" s="17" cm="1">
        <f t="array" ref="AQ38">$H38 *
IF(ISNUMBER(SEARCH("Rapid",$L38)),7/6,1) *
IF(OR(ISNUMBER(SEARCH("Beam",$L38)),ISNUMBER(SEARCH("Firestorm",$L38))),1, IF(ISNUMBER(SEARCH("Blast",$L38)),(4+$G38+(2-$G38)*0.5)/6*2,(4+$G38)/6)) *
_xlfn.IFS(AQ$24-$I38 &lt;=1, 5/6, AQ$24-$I38 &lt;=5, (7-(AQ$24-$I38))/6, AND(AQ$24-$I38 =6,NOT(_xlfn.IFNA(ISNUMBER(SEARCH("Rending",$L38)),FALSE))), (7-(AQ$24-$I38))/6, AND(AQ$24-$I38 &gt;=7,NOT(_xlfn.IFNA(ISNUMBER(SEARCH("Rending",$L38)),FALSE))), 0, AQ$24-$I38 =7, (7-(AQ$24-1-$I38))/6, AQ$24-$I38 =8, (7-(AQ$24-2-$I38))/6*2/3, AQ$24-$I38 =9, (7-(AQ$24-3-$I38))/6*1/3, TRUE, 0) *
IF(ISNUMBER(SEARCH("Ordinance",$L38)),7/6,1) *
IF(OR(ISNUMBER(SEARCH("Melee",$L38)),ISNUMBER(SEARCH("Bypass",$L38))),1.5,1)</f>
        <v>0</v>
      </c>
      <c r="AS38" s="16">
        <f t="shared" si="5"/>
        <v>1.63</v>
      </c>
      <c r="AT38" s="16">
        <f t="shared" si="6"/>
        <v>2.4449999999999998</v>
      </c>
      <c r="AU38" s="16">
        <f t="shared" si="0"/>
        <v>0.77499999999999991</v>
      </c>
      <c r="AV38" s="2">
        <v>9</v>
      </c>
    </row>
    <row r="39" spans="1:48" x14ac:dyDescent="0.3">
      <c r="A39" t="s">
        <v>623</v>
      </c>
      <c r="B39" s="3">
        <v>18</v>
      </c>
      <c r="C39" s="3">
        <v>38</v>
      </c>
      <c r="D39" s="3">
        <v>1</v>
      </c>
      <c r="E39" s="3">
        <v>2</v>
      </c>
      <c r="F39" s="10"/>
      <c r="G39" s="10"/>
      <c r="H39" s="3">
        <v>1</v>
      </c>
      <c r="I39" s="3">
        <v>9</v>
      </c>
      <c r="J39" s="3" t="s">
        <v>198</v>
      </c>
      <c r="K39" s="3">
        <v>20</v>
      </c>
      <c r="L39" s="3" t="s">
        <v>624</v>
      </c>
      <c r="M39" s="3" t="s">
        <v>199</v>
      </c>
      <c r="N39" s="3">
        <v>9</v>
      </c>
      <c r="O39" s="3">
        <v>9</v>
      </c>
      <c r="P39" s="3">
        <v>13</v>
      </c>
      <c r="Q39" s="3" t="s">
        <v>200</v>
      </c>
      <c r="R39" s="3">
        <v>7</v>
      </c>
      <c r="S39" s="3">
        <v>9</v>
      </c>
      <c r="T39" s="3">
        <v>4</v>
      </c>
      <c r="V39" s="16">
        <f t="shared" si="1"/>
        <v>0.22222222222222221</v>
      </c>
      <c r="W39" s="16">
        <f t="shared" si="2"/>
        <v>0.33333333333333331</v>
      </c>
      <c r="X39" s="17" cm="1">
        <f t="array" ref="X39">$H39 *
IF(ISNUMBER(SEARCH("Rapid",$L39)),7/6,1) *
IF(OR(ISNUMBER(SEARCH("Beam",$L39)),ISNUMBER(SEARCH("Firestorm",$L39))),1, IF(ISNUMBER(SEARCH("Blast",$L39)),(4+$F39+(2-$F39)*0.5)/6*2,(4+$F39)/6)) *
IF(ISNUMBER(SEARCH("Fusion",$L39)), _xlfn.IFS(X$24-$I39 &lt;=1, 9/10, X$24-$I39 &lt;=10,(11-(X$24-$I39))/10, X$24-$I39 &gt;=11, 0),
_xlfn.IFS(X$24-$I39 &lt;=1, 5/6, X$24-$I39 &lt;=5, (7-(X$24-$I39))/6, AND(X$24-$I39 =6,NOT(_xlfn.IFNA(ISNUMBER(SEARCH("Rending",$L39)),FALSE))), (7-(X$24-$I39))/6, AND(X$24-$I39 &gt;=7,NOT(_xlfn.IFNA(ISNUMBER(SEARCH("Rending",$L39)),FALSE))), 0, X$24-$I39 =7, (7-(X$24-1-$I39))/6, X$24-$I39 =8, (7-(X$24-2-$I39))/6*2/3, X$24-$I39 =9, (7-(X$24-3-$I39))/6*1/3, TRUE, 0)) *
IF(ISNUMBER(SEARCH("Ordinance",$L39)),7/6,1) *
IF(OR(ISNUMBER(SEARCH("Melee",$L39)),ISNUMBER(SEARCH("Bypass",$L39))),1.5,1)</f>
        <v>0.55555555555555558</v>
      </c>
      <c r="Y39" s="17" cm="1">
        <f t="array" ref="Y39">$H39 *
IF(ISNUMBER(SEARCH("Rapid",$L39)),7/6,1) *
IF(OR(ISNUMBER(SEARCH("Beam",$L39)),ISNUMBER(SEARCH("Firestorm",$L39))),1, IF(ISNUMBER(SEARCH("Blast",$L39)),(4+$F39+(2-$F39)*0.5)/6*2,(4+$F39)/6)) *
IF(ISNUMBER(SEARCH("Fusion",$L39)), _xlfn.IFS(Y$24-$I39 &lt;=1, 9/10, Y$24-$I39 &lt;=10,(11-(Y$24-$I39))/10, Y$24-$I39 &gt;=11, 0),
_xlfn.IFS(Y$24-$I39 &lt;=1, 5/6, Y$24-$I39 &lt;=5, (7-(Y$24-$I39))/6, AND(Y$24-$I39 =6,NOT(_xlfn.IFNA(ISNUMBER(SEARCH("Rending",$L39)),FALSE))), (7-(Y$24-$I39))/6, AND(Y$24-$I39 &gt;=7,NOT(_xlfn.IFNA(ISNUMBER(SEARCH("Rending",$L39)),FALSE))), 0, Y$24-$I39 =7, (7-(Y$24-1-$I39))/6, Y$24-$I39 =8, (7-(Y$24-2-$I39))/6*2/3, Y$24-$I39 =9, (7-(Y$24-3-$I39))/6*1/3, TRUE, 0)) *
IF(ISNUMBER(SEARCH("Ordinance",$L39)),7/6,1) *
IF(OR(ISNUMBER(SEARCH("Melee",$L39)),ISNUMBER(SEARCH("Bypass",$L39))),1.5,1)</f>
        <v>0.55555555555555558</v>
      </c>
      <c r="Z39" s="17" cm="1">
        <f t="array" ref="Z39">$H39 *
IF(ISNUMBER(SEARCH("Rapid",$L39)),7/6,1) *
IF(OR(ISNUMBER(SEARCH("Beam",$L39)),ISNUMBER(SEARCH("Firestorm",$L39))),1, IF(ISNUMBER(SEARCH("Blast",$L39)),(4+$F39+(2-$F39)*0.5)/6*2,(4+$F39)/6)) *
IF(ISNUMBER(SEARCH("Fusion",$L39)), _xlfn.IFS(Z$24-$I39 &lt;=1, 9/10, Z$24-$I39 &lt;=10,(11-(Z$24-$I39))/10, Z$24-$I39 &gt;=11, 0),
_xlfn.IFS(Z$24-$I39 &lt;=1, 5/6, Z$24-$I39 &lt;=5, (7-(Z$24-$I39))/6, AND(Z$24-$I39 =6,NOT(_xlfn.IFNA(ISNUMBER(SEARCH("Rending",$L39)),FALSE))), (7-(Z$24-$I39))/6, AND(Z$24-$I39 &gt;=7,NOT(_xlfn.IFNA(ISNUMBER(SEARCH("Rending",$L39)),FALSE))), 0, Z$24-$I39 =7, (7-(Z$24-1-$I39))/6, Z$24-$I39 =8, (7-(Z$24-2-$I39))/6*2/3, Z$24-$I39 =9, (7-(Z$24-3-$I39))/6*1/3, TRUE, 0)) *
IF(ISNUMBER(SEARCH("Ordinance",$L39)),7/6,1) *
IF(OR(ISNUMBER(SEARCH("Melee",$L39)),ISNUMBER(SEARCH("Bypass",$L39))),1.5,1)</f>
        <v>0.55555555555555558</v>
      </c>
      <c r="AA39" s="17" cm="1">
        <f t="array" ref="AA39">$H39 *
IF(ISNUMBER(SEARCH("Rapid",$L39)),7/6,1) *
IF(OR(ISNUMBER(SEARCH("Beam",$L39)),ISNUMBER(SEARCH("Firestorm",$L39))),1, IF(ISNUMBER(SEARCH("Blast",$L39)),(4+$F39+(2-$F39)*0.5)/6*2,(4+$F39)/6)) *
IF(ISNUMBER(SEARCH("Fusion",$L39)), _xlfn.IFS(AA$24-$I39 &lt;=1, 9/10, AA$24-$I39 &lt;=10,(11-(AA$24-$I39))/10, AA$24-$I39 &gt;=11, 0),
_xlfn.IFS(AA$24-$I39 &lt;=1, 5/6, AA$24-$I39 &lt;=5, (7-(AA$24-$I39))/6, AND(AA$24-$I39 =6,NOT(_xlfn.IFNA(ISNUMBER(SEARCH("Rending",$L39)),FALSE))), (7-(AA$24-$I39))/6, AND(AA$24-$I39 &gt;=7,NOT(_xlfn.IFNA(ISNUMBER(SEARCH("Rending",$L39)),FALSE))), 0, AA$24-$I39 =7, (7-(AA$24-1-$I39))/6, AA$24-$I39 =8, (7-(AA$24-2-$I39))/6*2/3, AA$24-$I39 =9, (7-(AA$24-3-$I39))/6*1/3, TRUE, 0)) *
IF(ISNUMBER(SEARCH("Ordinance",$L39)),7/6,1) *
IF(OR(ISNUMBER(SEARCH("Melee",$L39)),ISNUMBER(SEARCH("Bypass",$L39))),1.5,1)</f>
        <v>0.44444444444444442</v>
      </c>
      <c r="AB39" s="17" cm="1">
        <f t="array" ref="AB39">$H39 *
IF(ISNUMBER(SEARCH("Rapid",$L39)),7/6,1) *
IF(OR(ISNUMBER(SEARCH("Beam",$L39)),ISNUMBER(SEARCH("Firestorm",$L39))),1, IF(ISNUMBER(SEARCH("Blast",$L39)),(4+$F39+(2-$F39)*0.5)/6*2,(4+$F39)/6)) *
IF(ISNUMBER(SEARCH("Fusion",$L39)), _xlfn.IFS(AB$24-$I39 &lt;=1, 9/10, AB$24-$I39 &lt;=10,(11-(AB$24-$I39))/10, AB$24-$I39 &gt;=11, 0),
_xlfn.IFS(AB$24-$I39 &lt;=1, 5/6, AB$24-$I39 &lt;=5, (7-(AB$24-$I39))/6, AND(AB$24-$I39 =6,NOT(_xlfn.IFNA(ISNUMBER(SEARCH("Rending",$L39)),FALSE))), (7-(AB$24-$I39))/6, AND(AB$24-$I39 &gt;=7,NOT(_xlfn.IFNA(ISNUMBER(SEARCH("Rending",$L39)),FALSE))), 0, AB$24-$I39 =7, (7-(AB$24-1-$I39))/6, AB$24-$I39 =8, (7-(AB$24-2-$I39))/6*2/3, AB$24-$I39 =9, (7-(AB$24-3-$I39))/6*1/3, TRUE, 0)) *
IF(ISNUMBER(SEARCH("Ordinance",$L39)),7/6,1) *
IF(OR(ISNUMBER(SEARCH("Melee",$L39)),ISNUMBER(SEARCH("Bypass",$L39))),1.5,1)</f>
        <v>0.33333333333333331</v>
      </c>
      <c r="AC39" s="17" cm="1">
        <f t="array" ref="AC39">$H39 *
IF(ISNUMBER(SEARCH("Rapid",$L39)),7/6,1) *
IF(OR(ISNUMBER(SEARCH("Beam",$L39)),ISNUMBER(SEARCH("Firestorm",$L39))),1, IF(ISNUMBER(SEARCH("Blast",$L39)),(4+$F39+(2-$F39)*0.5)/6*2,(4+$F39)/6)) *
IF(ISNUMBER(SEARCH("Fusion",$L39)), _xlfn.IFS(AC$24-$I39 &lt;=1, 9/10, AC$24-$I39 &lt;=10,(11-(AC$24-$I39))/10, AC$24-$I39 &gt;=11, 0),
_xlfn.IFS(AC$24-$I39 &lt;=1, 5/6, AC$24-$I39 &lt;=5, (7-(AC$24-$I39))/6, AND(AC$24-$I39 =6,NOT(_xlfn.IFNA(ISNUMBER(SEARCH("Rending",$L39)),FALSE))), (7-(AC$24-$I39))/6, AND(AC$24-$I39 &gt;=7,NOT(_xlfn.IFNA(ISNUMBER(SEARCH("Rending",$L39)),FALSE))), 0, AC$24-$I39 =7, (7-(AC$24-1-$I39))/6, AC$24-$I39 =8, (7-(AC$24-2-$I39))/6*2/3, AC$24-$I39 =9, (7-(AC$24-3-$I39))/6*1/3, TRUE, 0)) *
IF(ISNUMBER(SEARCH("Ordinance",$L39)),7/6,1) *
IF(OR(ISNUMBER(SEARCH("Melee",$L39)),ISNUMBER(SEARCH("Bypass",$L39))),1.5,1)</f>
        <v>0.22222222222222221</v>
      </c>
      <c r="AD39" s="17" cm="1">
        <f t="array" ref="AD39">$H39 *
IF(ISNUMBER(SEARCH("Rapid",$L39)),7/6,1) *
IF(OR(ISNUMBER(SEARCH("Beam",$L39)),ISNUMBER(SEARCH("Firestorm",$L39))),1, IF(ISNUMBER(SEARCH("Blast",$L39)),(4+$F39+(2-$F39)*0.5)/6*2,(4+$F39)/6)) *
IF(ISNUMBER(SEARCH("Fusion",$L39)), _xlfn.IFS(AD$24-$I39 &lt;=1, 9/10, AD$24-$I39 &lt;=10,(11-(AD$24-$I39))/10, AD$24-$I39 &gt;=11, 0),
_xlfn.IFS(AD$24-$I39 &lt;=1, 5/6, AD$24-$I39 &lt;=5, (7-(AD$24-$I39))/6, AND(AD$24-$I39 =6,NOT(_xlfn.IFNA(ISNUMBER(SEARCH("Rending",$L39)),FALSE))), (7-(AD$24-$I39))/6, AND(AD$24-$I39 &gt;=7,NOT(_xlfn.IFNA(ISNUMBER(SEARCH("Rending",$L39)),FALSE))), 0, AD$24-$I39 =7, (7-(AD$24-1-$I39))/6, AD$24-$I39 =8, (7-(AD$24-2-$I39))/6*2/3, AD$24-$I39 =9, (7-(AD$24-3-$I39))/6*1/3, TRUE, 0)) *
IF(ISNUMBER(SEARCH("Ordinance",$L39)),7/6,1) *
IF(OR(ISNUMBER(SEARCH("Melee",$L39)),ISNUMBER(SEARCH("Bypass",$L39))),1.5,1)</f>
        <v>0</v>
      </c>
      <c r="AE39" s="17" cm="1">
        <f t="array" ref="AE39">$H39 *
IF(ISNUMBER(SEARCH("Rapid",$L39)),7/6,1) *
IF(OR(ISNUMBER(SEARCH("Beam",$L39)),ISNUMBER(SEARCH("Firestorm",$L39))),1, IF(ISNUMBER(SEARCH("Blast",$L39)),(4+$F39+(2-$F39)*0.5)/6*2,(4+$F39)/6)) *
IF(ISNUMBER(SEARCH("Fusion",$L39)), _xlfn.IFS(AE$24-$I39 &lt;=1, 9/10, AE$24-$I39 &lt;=10,(11-(AE$24-$I39))/10, AE$24-$I39 &gt;=11, 0),
_xlfn.IFS(AE$24-$I39 &lt;=1, 5/6, AE$24-$I39 &lt;=5, (7-(AE$24-$I39))/6, AND(AE$24-$I39 =6,NOT(_xlfn.IFNA(ISNUMBER(SEARCH("Rending",$L39)),FALSE))), (7-(AE$24-$I39))/6, AND(AE$24-$I39 &gt;=7,NOT(_xlfn.IFNA(ISNUMBER(SEARCH("Rending",$L39)),FALSE))), 0, AE$24-$I39 =7, (7-(AE$24-1-$I39))/6, AE$24-$I39 =8, (7-(AE$24-2-$I39))/6*2/3, AE$24-$I39 =9, (7-(AE$24-3-$I39))/6*1/3, TRUE, 0)) *
IF(ISNUMBER(SEARCH("Ordinance",$L39)),7/6,1) *
IF(OR(ISNUMBER(SEARCH("Melee",$L39)),ISNUMBER(SEARCH("Bypass",$L39))),1.5,1)</f>
        <v>0.1111111111111111</v>
      </c>
      <c r="AF39" s="17" cm="1">
        <f t="array" ref="AF39">$H39 *
IF(ISNUMBER(SEARCH("Rapid",$L39)),7/6,1) *
IF(OR(ISNUMBER(SEARCH("Beam",$L39)),ISNUMBER(SEARCH("Firestorm",$L39))),1, IF(ISNUMBER(SEARCH("Blast",$L39)),(4+$F39+(2-$F39)*0.5)/6*2,(4+$F39)/6)) *
IF(ISNUMBER(SEARCH("Fusion",$L39)), _xlfn.IFS(AF$24-$I39 &lt;=1, 9/10, AF$24-$I39 &lt;=10,(11-(AF$24-$I39))/10, AF$24-$I39 &gt;=11, 0),
_xlfn.IFS(AF$24-$I39 &lt;=1, 5/6, AF$24-$I39 &lt;=5, (7-(AF$24-$I39))/6, AND(AF$24-$I39 =6,NOT(_xlfn.IFNA(ISNUMBER(SEARCH("Rending",$L39)),FALSE))), (7-(AF$24-$I39))/6, AND(AF$24-$I39 &gt;=7,NOT(_xlfn.IFNA(ISNUMBER(SEARCH("Rending",$L39)),FALSE))), 0, AF$24-$I39 =7, (7-(AF$24-1-$I39))/6, AF$24-$I39 =8, (7-(AF$24-2-$I39))/6*2/3, AF$24-$I39 =9, (7-(AF$24-3-$I39))/6*1/3, TRUE, 0)) *
IF(ISNUMBER(SEARCH("Ordinance",$L39)),7/6,1) *
IF(OR(ISNUMBER(SEARCH("Melee",$L39)),ISNUMBER(SEARCH("Bypass",$L39))),1.5,1)</f>
        <v>7.407407407407407E-2</v>
      </c>
      <c r="AG39" s="16">
        <f t="shared" si="3"/>
        <v>0.22222222222222221</v>
      </c>
      <c r="AH39" s="16">
        <f t="shared" si="4"/>
        <v>0.33333333333333331</v>
      </c>
      <c r="AI39" s="17" cm="1">
        <f t="array" ref="AI39">$H39 *
IF(ISNUMBER(SEARCH("Rapid",$L39)),7/6,1) *
IF(OR(ISNUMBER(SEARCH("Beam",$L39)),ISNUMBER(SEARCH("Firestorm",$L39))),1, IF(ISNUMBER(SEARCH("Blast",$L39)),(4+$G39+(2-$G39)*0.5)/6*2,(4+$G39)/6)) *
_xlfn.IFS(AI$24-$I39 &lt;=1, 5/6, AI$24-$I39 &lt;=5, (7-(AI$24-$I39))/6, AND(AI$24-$I39 =6,NOT(_xlfn.IFNA(ISNUMBER(SEARCH("Rending",$L39)),FALSE))), (7-(AI$24-$I39))/6, AND(AI$24-$I39 &gt;=7,NOT(_xlfn.IFNA(ISNUMBER(SEARCH("Rending",$L39)),FALSE))), 0, AI$24-$I39 =7, (7-(AI$24-1-$I39))/6, AI$24-$I39 =8, (7-(AI$24-2-$I39))/6*2/3, AI$24-$I39 =9, (7-(AI$24-3-$I39))/6*1/3, TRUE, 0) *
IF(ISNUMBER(SEARCH("Ordinance",$L39)),7/6,1) *
IF(OR(ISNUMBER(SEARCH("Melee",$L39)),ISNUMBER(SEARCH("Bypass",$L39))),1.5,1)</f>
        <v>0.55555555555555558</v>
      </c>
      <c r="AJ39" s="17" cm="1">
        <f t="array" ref="AJ39">$H39 *
IF(ISNUMBER(SEARCH("Rapid",$L39)),7/6,1) *
IF(OR(ISNUMBER(SEARCH("Beam",$L39)),ISNUMBER(SEARCH("Firestorm",$L39))),1, IF(ISNUMBER(SEARCH("Blast",$L39)),(4+$G39+(2-$G39)*0.5)/6*2,(4+$G39)/6)) *
_xlfn.IFS(AJ$24-$I39 &lt;=1, 5/6, AJ$24-$I39 &lt;=5, (7-(AJ$24-$I39))/6, AND(AJ$24-$I39 =6,NOT(_xlfn.IFNA(ISNUMBER(SEARCH("Rending",$L39)),FALSE))), (7-(AJ$24-$I39))/6, AND(AJ$24-$I39 &gt;=7,NOT(_xlfn.IFNA(ISNUMBER(SEARCH("Rending",$L39)),FALSE))), 0, AJ$24-$I39 =7, (7-(AJ$24-1-$I39))/6, AJ$24-$I39 =8, (7-(AJ$24-2-$I39))/6*2/3, AJ$24-$I39 =9, (7-(AJ$24-3-$I39))/6*1/3, TRUE, 0) *
IF(ISNUMBER(SEARCH("Ordinance",$L39)),7/6,1) *
IF(OR(ISNUMBER(SEARCH("Melee",$L39)),ISNUMBER(SEARCH("Bypass",$L39))),1.5,1)</f>
        <v>0.55555555555555558</v>
      </c>
      <c r="AK39" s="17" cm="1">
        <f t="array" ref="AK39">$H39 *
IF(ISNUMBER(SEARCH("Rapid",$L39)),7/6,1) *
IF(OR(ISNUMBER(SEARCH("Beam",$L39)),ISNUMBER(SEARCH("Firestorm",$L39))),1, IF(ISNUMBER(SEARCH("Blast",$L39)),(4+$G39+(2-$G39)*0.5)/6*2,(4+$G39)/6)) *
_xlfn.IFS(AK$24-$I39 &lt;=1, 5/6, AK$24-$I39 &lt;=5, (7-(AK$24-$I39))/6, AND(AK$24-$I39 =6,NOT(_xlfn.IFNA(ISNUMBER(SEARCH("Rending",$L39)),FALSE))), (7-(AK$24-$I39))/6, AND(AK$24-$I39 &gt;=7,NOT(_xlfn.IFNA(ISNUMBER(SEARCH("Rending",$L39)),FALSE))), 0, AK$24-$I39 =7, (7-(AK$24-1-$I39))/6, AK$24-$I39 =8, (7-(AK$24-2-$I39))/6*2/3, AK$24-$I39 =9, (7-(AK$24-3-$I39))/6*1/3, TRUE, 0) *
IF(ISNUMBER(SEARCH("Ordinance",$L39)),7/6,1) *
IF(OR(ISNUMBER(SEARCH("Melee",$L39)),ISNUMBER(SEARCH("Bypass",$L39))),1.5,1)</f>
        <v>0.55555555555555558</v>
      </c>
      <c r="AL39" s="17" cm="1">
        <f t="array" ref="AL39">$H39 *
IF(ISNUMBER(SEARCH("Rapid",$L39)),7/6,1) *
IF(OR(ISNUMBER(SEARCH("Beam",$L39)),ISNUMBER(SEARCH("Firestorm",$L39))),1, IF(ISNUMBER(SEARCH("Blast",$L39)),(4+$G39+(2-$G39)*0.5)/6*2,(4+$G39)/6)) *
_xlfn.IFS(AL$24-$I39 &lt;=1, 5/6, AL$24-$I39 &lt;=5, (7-(AL$24-$I39))/6, AND(AL$24-$I39 =6,NOT(_xlfn.IFNA(ISNUMBER(SEARCH("Rending",$L39)),FALSE))), (7-(AL$24-$I39))/6, AND(AL$24-$I39 &gt;=7,NOT(_xlfn.IFNA(ISNUMBER(SEARCH("Rending",$L39)),FALSE))), 0, AL$24-$I39 =7, (7-(AL$24-1-$I39))/6, AL$24-$I39 =8, (7-(AL$24-2-$I39))/6*2/3, AL$24-$I39 =9, (7-(AL$24-3-$I39))/6*1/3, TRUE, 0) *
IF(ISNUMBER(SEARCH("Ordinance",$L39)),7/6,1) *
IF(OR(ISNUMBER(SEARCH("Melee",$L39)),ISNUMBER(SEARCH("Bypass",$L39))),1.5,1)</f>
        <v>0.44444444444444442</v>
      </c>
      <c r="AM39" s="17" cm="1">
        <f t="array" ref="AM39">$H39 *
IF(ISNUMBER(SEARCH("Rapid",$L39)),7/6,1) *
IF(OR(ISNUMBER(SEARCH("Beam",$L39)),ISNUMBER(SEARCH("Firestorm",$L39))),1, IF(ISNUMBER(SEARCH("Blast",$L39)),(4+$G39+(2-$G39)*0.5)/6*2,(4+$G39)/6)) *
_xlfn.IFS(AM$24-$I39 &lt;=1, 5/6, AM$24-$I39 &lt;=5, (7-(AM$24-$I39))/6, AND(AM$24-$I39 =6,NOT(_xlfn.IFNA(ISNUMBER(SEARCH("Rending",$L39)),FALSE))), (7-(AM$24-$I39))/6, AND(AM$24-$I39 &gt;=7,NOT(_xlfn.IFNA(ISNUMBER(SEARCH("Rending",$L39)),FALSE))), 0, AM$24-$I39 =7, (7-(AM$24-1-$I39))/6, AM$24-$I39 =8, (7-(AM$24-2-$I39))/6*2/3, AM$24-$I39 =9, (7-(AM$24-3-$I39))/6*1/3, TRUE, 0) *
IF(ISNUMBER(SEARCH("Ordinance",$L39)),7/6,1) *
IF(OR(ISNUMBER(SEARCH("Melee",$L39)),ISNUMBER(SEARCH("Bypass",$L39))),1.5,1)</f>
        <v>0.33333333333333331</v>
      </c>
      <c r="AN39" s="17" cm="1">
        <f t="array" ref="AN39">$H39 *
IF(ISNUMBER(SEARCH("Rapid",$L39)),7/6,1) *
IF(OR(ISNUMBER(SEARCH("Beam",$L39)),ISNUMBER(SEARCH("Firestorm",$L39))),1, IF(ISNUMBER(SEARCH("Blast",$L39)),(4+$G39+(2-$G39)*0.5)/6*2,(4+$G39)/6)) *
_xlfn.IFS(AN$24-$I39 &lt;=1, 5/6, AN$24-$I39 &lt;=5, (7-(AN$24-$I39))/6, AND(AN$24-$I39 =6,NOT(_xlfn.IFNA(ISNUMBER(SEARCH("Rending",$L39)),FALSE))), (7-(AN$24-$I39))/6, AND(AN$24-$I39 &gt;=7,NOT(_xlfn.IFNA(ISNUMBER(SEARCH("Rending",$L39)),FALSE))), 0, AN$24-$I39 =7, (7-(AN$24-1-$I39))/6, AN$24-$I39 =8, (7-(AN$24-2-$I39))/6*2/3, AN$24-$I39 =9, (7-(AN$24-3-$I39))/6*1/3, TRUE, 0) *
IF(ISNUMBER(SEARCH("Ordinance",$L39)),7/6,1) *
IF(OR(ISNUMBER(SEARCH("Melee",$L39)),ISNUMBER(SEARCH("Bypass",$L39))),1.5,1)</f>
        <v>0.22222222222222221</v>
      </c>
      <c r="AO39" s="17" cm="1">
        <f t="array" ref="AO39">$H39 *
IF(ISNUMBER(SEARCH("Rapid",$L39)),7/6,1) *
IF(OR(ISNUMBER(SEARCH("Beam",$L39)),ISNUMBER(SEARCH("Firestorm",$L39))),1, IF(ISNUMBER(SEARCH("Blast",$L39)),(4+$G39+(2-$G39)*0.5)/6*2,(4+$G39)/6)) *
_xlfn.IFS(AO$24-$I39 &lt;=1, 5/6, AO$24-$I39 &lt;=5, (7-(AO$24-$I39))/6, AND(AO$24-$I39 =6,NOT(_xlfn.IFNA(ISNUMBER(SEARCH("Rending",$L39)),FALSE))), (7-(AO$24-$I39))/6, AND(AO$24-$I39 &gt;=7,NOT(_xlfn.IFNA(ISNUMBER(SEARCH("Rending",$L39)),FALSE))), 0, AO$24-$I39 =7, (7-(AO$24-1-$I39))/6, AO$24-$I39 =8, (7-(AO$24-2-$I39))/6*2/3, AO$24-$I39 =9, (7-(AO$24-3-$I39))/6*1/3, TRUE, 0) *
IF(ISNUMBER(SEARCH("Ordinance",$L39)),7/6,1) *
IF(OR(ISNUMBER(SEARCH("Melee",$L39)),ISNUMBER(SEARCH("Bypass",$L39))),1.5,1)</f>
        <v>0</v>
      </c>
      <c r="AP39" s="17" cm="1">
        <f t="array" ref="AP39">$H39 *
IF(ISNUMBER(SEARCH("Rapid",$L39)),7/6,1) *
IF(OR(ISNUMBER(SEARCH("Beam",$L39)),ISNUMBER(SEARCH("Firestorm",$L39))),1, IF(ISNUMBER(SEARCH("Blast",$L39)),(4+$G39+(2-$G39)*0.5)/6*2,(4+$G39)/6)) *
_xlfn.IFS(AP$24-$I39 &lt;=1, 5/6, AP$24-$I39 &lt;=5, (7-(AP$24-$I39))/6, AND(AP$24-$I39 =6,NOT(_xlfn.IFNA(ISNUMBER(SEARCH("Rending",$L39)),FALSE))), (7-(AP$24-$I39))/6, AND(AP$24-$I39 &gt;=7,NOT(_xlfn.IFNA(ISNUMBER(SEARCH("Rending",$L39)),FALSE))), 0, AP$24-$I39 =7, (7-(AP$24-1-$I39))/6, AP$24-$I39 =8, (7-(AP$24-2-$I39))/6*2/3, AP$24-$I39 =9, (7-(AP$24-3-$I39))/6*1/3, TRUE, 0) *
IF(ISNUMBER(SEARCH("Ordinance",$L39)),7/6,1) *
IF(OR(ISNUMBER(SEARCH("Melee",$L39)),ISNUMBER(SEARCH("Bypass",$L39))),1.5,1)</f>
        <v>0.1111111111111111</v>
      </c>
      <c r="AQ39" s="17" cm="1">
        <f t="array" ref="AQ39">$H39 *
IF(ISNUMBER(SEARCH("Rapid",$L39)),7/6,1) *
IF(OR(ISNUMBER(SEARCH("Beam",$L39)),ISNUMBER(SEARCH("Firestorm",$L39))),1, IF(ISNUMBER(SEARCH("Blast",$L39)),(4+$G39+(2-$G39)*0.5)/6*2,(4+$G39)/6)) *
_xlfn.IFS(AQ$24-$I39 &lt;=1, 5/6, AQ$24-$I39 &lt;=5, (7-(AQ$24-$I39))/6, AND(AQ$24-$I39 =6,NOT(_xlfn.IFNA(ISNUMBER(SEARCH("Rending",$L39)),FALSE))), (7-(AQ$24-$I39))/6, AND(AQ$24-$I39 &gt;=7,NOT(_xlfn.IFNA(ISNUMBER(SEARCH("Rending",$L39)),FALSE))), 0, AQ$24-$I39 =7, (7-(AQ$24-1-$I39))/6, AQ$24-$I39 =8, (7-(AQ$24-2-$I39))/6*2/3, AQ$24-$I39 =9, (7-(AQ$24-3-$I39))/6*1/3, TRUE, 0) *
IF(ISNUMBER(SEARCH("Ordinance",$L39)),7/6,1) *
IF(OR(ISNUMBER(SEARCH("Melee",$L39)),ISNUMBER(SEARCH("Bypass",$L39))),1.5,1)</f>
        <v>7.407407407407407E-2</v>
      </c>
      <c r="AS39" s="16">
        <f t="shared" ref="AS39:AT43" si="7">IF($E39=1,AG39*3,IF($E39=2,2*AG39,1.1*AG39))/3</f>
        <v>0.14814814814814814</v>
      </c>
      <c r="AT39" s="16">
        <f t="shared" si="7"/>
        <v>0.22222222222222221</v>
      </c>
      <c r="AU39" s="16">
        <f>IF(D39+E39=3,
 IF(E39=3, 2.5*AI39,
  IF(E39=2, 1.8*AI39+0.7*X39,
   IF(E39=1, 0.95*AI39+1.55*X39,
    2.5*X39))),
 IF(D39+E39=2,
  IF(E39=2, 1.55*AI39,
   IF(E39 =1, 0.85*AI39+0.7*X39,
    1.55*X39)),
  IF(E39=1, 0.95*AI39,
   0.7*X39))
)/3</f>
        <v>0.46296296296296297</v>
      </c>
      <c r="AV39" s="2">
        <v>11</v>
      </c>
    </row>
    <row r="40" spans="1:48" x14ac:dyDescent="0.3">
      <c r="A40" t="s">
        <v>759</v>
      </c>
      <c r="B40" s="46">
        <v>20</v>
      </c>
      <c r="C40" s="46">
        <v>40</v>
      </c>
      <c r="D40" s="46"/>
      <c r="E40" s="46">
        <v>3</v>
      </c>
      <c r="F40" s="10"/>
      <c r="G40" s="10"/>
      <c r="H40" s="46">
        <v>2</v>
      </c>
      <c r="I40" s="3">
        <v>11</v>
      </c>
      <c r="J40" s="3" t="s">
        <v>198</v>
      </c>
      <c r="K40" s="46">
        <v>25</v>
      </c>
      <c r="L40" s="3" t="s">
        <v>784</v>
      </c>
      <c r="M40" s="3" t="s">
        <v>199</v>
      </c>
      <c r="N40" s="3">
        <v>9</v>
      </c>
      <c r="O40" s="3">
        <v>9</v>
      </c>
      <c r="P40" s="3">
        <v>13</v>
      </c>
      <c r="Q40" s="3" t="s">
        <v>200</v>
      </c>
      <c r="R40" s="3">
        <v>7</v>
      </c>
      <c r="S40" s="3">
        <v>9</v>
      </c>
      <c r="T40" s="46">
        <v>4</v>
      </c>
      <c r="V40" s="16">
        <f t="shared" si="1"/>
        <v>0.44444444444444442</v>
      </c>
      <c r="W40" s="16">
        <f t="shared" si="2"/>
        <v>0.66666666666666663</v>
      </c>
      <c r="X40" s="17" cm="1">
        <f t="array" ref="X40">$H40 *
IF(ISNUMBER(SEARCH("Rapid",$L40)),7/6,1) *
IF(OR(ISNUMBER(SEARCH("Beam",$L40)),ISNUMBER(SEARCH("Firestorm",$L40))),1, IF(ISNUMBER(SEARCH("Blast",$L40)),(4+$F40+(2-$F40)*0.5)/6*2,(4+$F40)/6)) *
IF(ISNUMBER(SEARCH("Fusion",$L40)), _xlfn.IFS(X$24-$I40 &lt;=1, 9/10, X$24-$I40 &lt;=10,(11-(X$24-$I40))/10, X$24-$I40 &gt;=11, 0),
_xlfn.IFS(X$24-$I40 &lt;=1, 5/6, X$24-$I40 &lt;=5, (7-(X$24-$I40))/6, AND(X$24-$I40 =6,NOT(_xlfn.IFNA(ISNUMBER(SEARCH("Rending",$L40)),FALSE))), (7-(X$24-$I40))/6, AND(X$24-$I40 &gt;=7,NOT(_xlfn.IFNA(ISNUMBER(SEARCH("Rending",$L40)),FALSE))), 0, X$24-$I40 =7, (7-(X$24-1-$I40))/6, X$24-$I40 =8, (7-(X$24-2-$I40))/6*2/3, X$24-$I40 =9, (7-(X$24-3-$I40))/6*1/3, TRUE, 0)) *
IF(ISNUMBER(SEARCH("Ordinance",$L40)),7/6,1) *
IF(OR(ISNUMBER(SEARCH("Melee",$L40)),ISNUMBER(SEARCH("Bypass",$L40))),1.5,1)</f>
        <v>1.1111111111111112</v>
      </c>
      <c r="Y40" s="17" cm="1">
        <f t="array" ref="Y40">$H40 *
IF(ISNUMBER(SEARCH("Rapid",$L40)),7/6,1) *
IF(OR(ISNUMBER(SEARCH("Beam",$L40)),ISNUMBER(SEARCH("Firestorm",$L40))),1, IF(ISNUMBER(SEARCH("Blast",$L40)),(4+$F40+(2-$F40)*0.5)/6*2,(4+$F40)/6)) *
IF(ISNUMBER(SEARCH("Fusion",$L40)), _xlfn.IFS(Y$24-$I40 &lt;=1, 9/10, Y$24-$I40 &lt;=10,(11-(Y$24-$I40))/10, Y$24-$I40 &gt;=11, 0),
_xlfn.IFS(Y$24-$I40 &lt;=1, 5/6, Y$24-$I40 &lt;=5, (7-(Y$24-$I40))/6, AND(Y$24-$I40 =6,NOT(_xlfn.IFNA(ISNUMBER(SEARCH("Rending",$L40)),FALSE))), (7-(Y$24-$I40))/6, AND(Y$24-$I40 &gt;=7,NOT(_xlfn.IFNA(ISNUMBER(SEARCH("Rending",$L40)),FALSE))), 0, Y$24-$I40 =7, (7-(Y$24-1-$I40))/6, Y$24-$I40 =8, (7-(Y$24-2-$I40))/6*2/3, Y$24-$I40 =9, (7-(Y$24-3-$I40))/6*1/3, TRUE, 0)) *
IF(ISNUMBER(SEARCH("Ordinance",$L40)),7/6,1) *
IF(OR(ISNUMBER(SEARCH("Melee",$L40)),ISNUMBER(SEARCH("Bypass",$L40))),1.5,1)</f>
        <v>1.1111111111111112</v>
      </c>
      <c r="Z40" s="17" cm="1">
        <f t="array" ref="Z40">$H40 *
IF(ISNUMBER(SEARCH("Rapid",$L40)),7/6,1) *
IF(OR(ISNUMBER(SEARCH("Beam",$L40)),ISNUMBER(SEARCH("Firestorm",$L40))),1, IF(ISNUMBER(SEARCH("Blast",$L40)),(4+$F40+(2-$F40)*0.5)/6*2,(4+$F40)/6)) *
IF(ISNUMBER(SEARCH("Fusion",$L40)), _xlfn.IFS(Z$24-$I40 &lt;=1, 9/10, Z$24-$I40 &lt;=10,(11-(Z$24-$I40))/10, Z$24-$I40 &gt;=11, 0),
_xlfn.IFS(Z$24-$I40 &lt;=1, 5/6, Z$24-$I40 &lt;=5, (7-(Z$24-$I40))/6, AND(Z$24-$I40 =6,NOT(_xlfn.IFNA(ISNUMBER(SEARCH("Rending",$L40)),FALSE))), (7-(Z$24-$I40))/6, AND(Z$24-$I40 &gt;=7,NOT(_xlfn.IFNA(ISNUMBER(SEARCH("Rending",$L40)),FALSE))), 0, Z$24-$I40 =7, (7-(Z$24-1-$I40))/6, Z$24-$I40 =8, (7-(Z$24-2-$I40))/6*2/3, Z$24-$I40 =9, (7-(Z$24-3-$I40))/6*1/3, TRUE, 0)) *
IF(ISNUMBER(SEARCH("Ordinance",$L40)),7/6,1) *
IF(OR(ISNUMBER(SEARCH("Melee",$L40)),ISNUMBER(SEARCH("Bypass",$L40))),1.5,1)</f>
        <v>1.1111111111111112</v>
      </c>
      <c r="AA40" s="17" cm="1">
        <f t="array" ref="AA40">$H40 *
IF(ISNUMBER(SEARCH("Rapid",$L40)),7/6,1) *
IF(OR(ISNUMBER(SEARCH("Beam",$L40)),ISNUMBER(SEARCH("Firestorm",$L40))),1, IF(ISNUMBER(SEARCH("Blast",$L40)),(4+$F40+(2-$F40)*0.5)/6*2,(4+$F40)/6)) *
IF(ISNUMBER(SEARCH("Fusion",$L40)), _xlfn.IFS(AA$24-$I40 &lt;=1, 9/10, AA$24-$I40 &lt;=10,(11-(AA$24-$I40))/10, AA$24-$I40 &gt;=11, 0),
_xlfn.IFS(AA$24-$I40 &lt;=1, 5/6, AA$24-$I40 &lt;=5, (7-(AA$24-$I40))/6, AND(AA$24-$I40 =6,NOT(_xlfn.IFNA(ISNUMBER(SEARCH("Rending",$L40)),FALSE))), (7-(AA$24-$I40))/6, AND(AA$24-$I40 &gt;=7,NOT(_xlfn.IFNA(ISNUMBER(SEARCH("Rending",$L40)),FALSE))), 0, AA$24-$I40 =7, (7-(AA$24-1-$I40))/6, AA$24-$I40 =8, (7-(AA$24-2-$I40))/6*2/3, AA$24-$I40 =9, (7-(AA$24-3-$I40))/6*1/3, TRUE, 0)) *
IF(ISNUMBER(SEARCH("Ordinance",$L40)),7/6,1) *
IF(OR(ISNUMBER(SEARCH("Melee",$L40)),ISNUMBER(SEARCH("Bypass",$L40))),1.5,1)</f>
        <v>1.1111111111111112</v>
      </c>
      <c r="AB40" s="17" cm="1">
        <f t="array" ref="AB40">$H40 *
IF(ISNUMBER(SEARCH("Rapid",$L40)),7/6,1) *
IF(OR(ISNUMBER(SEARCH("Beam",$L40)),ISNUMBER(SEARCH("Firestorm",$L40))),1, IF(ISNUMBER(SEARCH("Blast",$L40)),(4+$F40+(2-$F40)*0.5)/6*2,(4+$F40)/6)) *
IF(ISNUMBER(SEARCH("Fusion",$L40)), _xlfn.IFS(AB$24-$I40 &lt;=1, 9/10, AB$24-$I40 &lt;=10,(11-(AB$24-$I40))/10, AB$24-$I40 &gt;=11, 0),
_xlfn.IFS(AB$24-$I40 &lt;=1, 5/6, AB$24-$I40 &lt;=5, (7-(AB$24-$I40))/6, AND(AB$24-$I40 =6,NOT(_xlfn.IFNA(ISNUMBER(SEARCH("Rending",$L40)),FALSE))), (7-(AB$24-$I40))/6, AND(AB$24-$I40 &gt;=7,NOT(_xlfn.IFNA(ISNUMBER(SEARCH("Rending",$L40)),FALSE))), 0, AB$24-$I40 =7, (7-(AB$24-1-$I40))/6, AB$24-$I40 =8, (7-(AB$24-2-$I40))/6*2/3, AB$24-$I40 =9, (7-(AB$24-3-$I40))/6*1/3, TRUE, 0)) *
IF(ISNUMBER(SEARCH("Ordinance",$L40)),7/6,1) *
IF(OR(ISNUMBER(SEARCH("Melee",$L40)),ISNUMBER(SEARCH("Bypass",$L40))),1.5,1)</f>
        <v>1.1111111111111112</v>
      </c>
      <c r="AC40" s="17" cm="1">
        <f t="array" ref="AC40">$H40 *
IF(ISNUMBER(SEARCH("Rapid",$L40)),7/6,1) *
IF(OR(ISNUMBER(SEARCH("Beam",$L40)),ISNUMBER(SEARCH("Firestorm",$L40))),1, IF(ISNUMBER(SEARCH("Blast",$L40)),(4+$F40+(2-$F40)*0.5)/6*2,(4+$F40)/6)) *
IF(ISNUMBER(SEARCH("Fusion",$L40)), _xlfn.IFS(AC$24-$I40 &lt;=1, 9/10, AC$24-$I40 &lt;=10,(11-(AC$24-$I40))/10, AC$24-$I40 &gt;=11, 0),
_xlfn.IFS(AC$24-$I40 &lt;=1, 5/6, AC$24-$I40 &lt;=5, (7-(AC$24-$I40))/6, AND(AC$24-$I40 =6,NOT(_xlfn.IFNA(ISNUMBER(SEARCH("Rending",$L40)),FALSE))), (7-(AC$24-$I40))/6, AND(AC$24-$I40 &gt;=7,NOT(_xlfn.IFNA(ISNUMBER(SEARCH("Rending",$L40)),FALSE))), 0, AC$24-$I40 =7, (7-(AC$24-1-$I40))/6, AC$24-$I40 =8, (7-(AC$24-2-$I40))/6*2/3, AC$24-$I40 =9, (7-(AC$24-3-$I40))/6*1/3, TRUE, 0)) *
IF(ISNUMBER(SEARCH("Ordinance",$L40)),7/6,1) *
IF(OR(ISNUMBER(SEARCH("Melee",$L40)),ISNUMBER(SEARCH("Bypass",$L40))),1.5,1)</f>
        <v>0.88888888888888884</v>
      </c>
      <c r="AD40" s="17" cm="1">
        <f t="array" ref="AD40">$H40 *
IF(ISNUMBER(SEARCH("Rapid",$L40)),7/6,1) *
IF(OR(ISNUMBER(SEARCH("Beam",$L40)),ISNUMBER(SEARCH("Firestorm",$L40))),1, IF(ISNUMBER(SEARCH("Blast",$L40)),(4+$F40+(2-$F40)*0.5)/6*2,(4+$F40)/6)) *
IF(ISNUMBER(SEARCH("Fusion",$L40)), _xlfn.IFS(AD$24-$I40 &lt;=1, 9/10, AD$24-$I40 &lt;=10,(11-(AD$24-$I40))/10, AD$24-$I40 &gt;=11, 0),
_xlfn.IFS(AD$24-$I40 &lt;=1, 5/6, AD$24-$I40 &lt;=5, (7-(AD$24-$I40))/6, AND(AD$24-$I40 =6,NOT(_xlfn.IFNA(ISNUMBER(SEARCH("Rending",$L40)),FALSE))), (7-(AD$24-$I40))/6, AND(AD$24-$I40 &gt;=7,NOT(_xlfn.IFNA(ISNUMBER(SEARCH("Rending",$L40)),FALSE))), 0, AD$24-$I40 =7, (7-(AD$24-1-$I40))/6, AD$24-$I40 =8, (7-(AD$24-2-$I40))/6*2/3, AD$24-$I40 =9, (7-(AD$24-3-$I40))/6*1/3, TRUE, 0)) *
IF(ISNUMBER(SEARCH("Ordinance",$L40)),7/6,1) *
IF(OR(ISNUMBER(SEARCH("Melee",$L40)),ISNUMBER(SEARCH("Bypass",$L40))),1.5,1)</f>
        <v>0.66666666666666663</v>
      </c>
      <c r="AE40" s="17" cm="1">
        <f t="array" ref="AE40">$H40 *
IF(ISNUMBER(SEARCH("Rapid",$L40)),7/6,1) *
IF(OR(ISNUMBER(SEARCH("Beam",$L40)),ISNUMBER(SEARCH("Firestorm",$L40))),1, IF(ISNUMBER(SEARCH("Blast",$L40)),(4+$F40+(2-$F40)*0.5)/6*2,(4+$F40)/6)) *
IF(ISNUMBER(SEARCH("Fusion",$L40)), _xlfn.IFS(AE$24-$I40 &lt;=1, 9/10, AE$24-$I40 &lt;=10,(11-(AE$24-$I40))/10, AE$24-$I40 &gt;=11, 0),
_xlfn.IFS(AE$24-$I40 &lt;=1, 5/6, AE$24-$I40 &lt;=5, (7-(AE$24-$I40))/6, AND(AE$24-$I40 =6,NOT(_xlfn.IFNA(ISNUMBER(SEARCH("Rending",$L40)),FALSE))), (7-(AE$24-$I40))/6, AND(AE$24-$I40 &gt;=7,NOT(_xlfn.IFNA(ISNUMBER(SEARCH("Rending",$L40)),FALSE))), 0, AE$24-$I40 =7, (7-(AE$24-1-$I40))/6, AE$24-$I40 =8, (7-(AE$24-2-$I40))/6*2/3, AE$24-$I40 =9, (7-(AE$24-3-$I40))/6*1/3, TRUE, 0)) *
IF(ISNUMBER(SEARCH("Ordinance",$L40)),7/6,1) *
IF(OR(ISNUMBER(SEARCH("Melee",$L40)),ISNUMBER(SEARCH("Bypass",$L40))),1.5,1)</f>
        <v>0.44444444444444442</v>
      </c>
      <c r="AF40" s="17" cm="1">
        <f t="array" ref="AF40">$H40 *
IF(ISNUMBER(SEARCH("Rapid",$L40)),7/6,1) *
IF(OR(ISNUMBER(SEARCH("Beam",$L40)),ISNUMBER(SEARCH("Firestorm",$L40))),1, IF(ISNUMBER(SEARCH("Blast",$L40)),(4+$F40+(2-$F40)*0.5)/6*2,(4+$F40)/6)) *
IF(ISNUMBER(SEARCH("Fusion",$L40)), _xlfn.IFS(AF$24-$I40 &lt;=1, 9/10, AF$24-$I40 &lt;=10,(11-(AF$24-$I40))/10, AF$24-$I40 &gt;=11, 0),
_xlfn.IFS(AF$24-$I40 &lt;=1, 5/6, AF$24-$I40 &lt;=5, (7-(AF$24-$I40))/6, AND(AF$24-$I40 =6,NOT(_xlfn.IFNA(ISNUMBER(SEARCH("Rending",$L40)),FALSE))), (7-(AF$24-$I40))/6, AND(AF$24-$I40 &gt;=7,NOT(_xlfn.IFNA(ISNUMBER(SEARCH("Rending",$L40)),FALSE))), 0, AF$24-$I40 =7, (7-(AF$24-1-$I40))/6, AF$24-$I40 =8, (7-(AF$24-2-$I40))/6*2/3, AF$24-$I40 =9, (7-(AF$24-3-$I40))/6*1/3, TRUE, 0)) *
IF(ISNUMBER(SEARCH("Ordinance",$L40)),7/6,1) *
IF(OR(ISNUMBER(SEARCH("Melee",$L40)),ISNUMBER(SEARCH("Bypass",$L40))),1.5,1)</f>
        <v>0.22222222222222221</v>
      </c>
      <c r="AG40" s="16">
        <f t="shared" si="3"/>
        <v>0.44444444444444442</v>
      </c>
      <c r="AH40" s="16">
        <f t="shared" si="4"/>
        <v>0.66666666666666663</v>
      </c>
      <c r="AI40" s="17" cm="1">
        <f t="array" ref="AI40">$H40 *
IF(ISNUMBER(SEARCH("Rapid",$L40)),7/6,1) *
IF(OR(ISNUMBER(SEARCH("Beam",$L40)),ISNUMBER(SEARCH("Firestorm",$L40))),1, IF(ISNUMBER(SEARCH("Blast",$L40)),(4+$G40+(2-$G40)*0.5)/6*2,(4+$G40)/6)) *
_xlfn.IFS(AI$24-$I40 &lt;=1, 5/6, AI$24-$I40 &lt;=5, (7-(AI$24-$I40))/6, AND(AI$24-$I40 =6,NOT(_xlfn.IFNA(ISNUMBER(SEARCH("Rending",$L40)),FALSE))), (7-(AI$24-$I40))/6, AND(AI$24-$I40 &gt;=7,NOT(_xlfn.IFNA(ISNUMBER(SEARCH("Rending",$L40)),FALSE))), 0, AI$24-$I40 =7, (7-(AI$24-1-$I40))/6, AI$24-$I40 =8, (7-(AI$24-2-$I40))/6*2/3, AI$24-$I40 =9, (7-(AI$24-3-$I40))/6*1/3, TRUE, 0) *
IF(ISNUMBER(SEARCH("Ordinance",$L40)),7/6,1) *
IF(OR(ISNUMBER(SEARCH("Melee",$L40)),ISNUMBER(SEARCH("Bypass",$L40))),1.5,1)</f>
        <v>1.1111111111111112</v>
      </c>
      <c r="AJ40" s="17" cm="1">
        <f t="array" ref="AJ40">$H40 *
IF(ISNUMBER(SEARCH("Rapid",$L40)),7/6,1) *
IF(OR(ISNUMBER(SEARCH("Beam",$L40)),ISNUMBER(SEARCH("Firestorm",$L40))),1, IF(ISNUMBER(SEARCH("Blast",$L40)),(4+$G40+(2-$G40)*0.5)/6*2,(4+$G40)/6)) *
_xlfn.IFS(AJ$24-$I40 &lt;=1, 5/6, AJ$24-$I40 &lt;=5, (7-(AJ$24-$I40))/6, AND(AJ$24-$I40 =6,NOT(_xlfn.IFNA(ISNUMBER(SEARCH("Rending",$L40)),FALSE))), (7-(AJ$24-$I40))/6, AND(AJ$24-$I40 &gt;=7,NOT(_xlfn.IFNA(ISNUMBER(SEARCH("Rending",$L40)),FALSE))), 0, AJ$24-$I40 =7, (7-(AJ$24-1-$I40))/6, AJ$24-$I40 =8, (7-(AJ$24-2-$I40))/6*2/3, AJ$24-$I40 =9, (7-(AJ$24-3-$I40))/6*1/3, TRUE, 0) *
IF(ISNUMBER(SEARCH("Ordinance",$L40)),7/6,1) *
IF(OR(ISNUMBER(SEARCH("Melee",$L40)),ISNUMBER(SEARCH("Bypass",$L40))),1.5,1)</f>
        <v>1.1111111111111112</v>
      </c>
      <c r="AK40" s="17" cm="1">
        <f t="array" ref="AK40">$H40 *
IF(ISNUMBER(SEARCH("Rapid",$L40)),7/6,1) *
IF(OR(ISNUMBER(SEARCH("Beam",$L40)),ISNUMBER(SEARCH("Firestorm",$L40))),1, IF(ISNUMBER(SEARCH("Blast",$L40)),(4+$G40+(2-$G40)*0.5)/6*2,(4+$G40)/6)) *
_xlfn.IFS(AK$24-$I40 &lt;=1, 5/6, AK$24-$I40 &lt;=5, (7-(AK$24-$I40))/6, AND(AK$24-$I40 =6,NOT(_xlfn.IFNA(ISNUMBER(SEARCH("Rending",$L40)),FALSE))), (7-(AK$24-$I40))/6, AND(AK$24-$I40 &gt;=7,NOT(_xlfn.IFNA(ISNUMBER(SEARCH("Rending",$L40)),FALSE))), 0, AK$24-$I40 =7, (7-(AK$24-1-$I40))/6, AK$24-$I40 =8, (7-(AK$24-2-$I40))/6*2/3, AK$24-$I40 =9, (7-(AK$24-3-$I40))/6*1/3, TRUE, 0) *
IF(ISNUMBER(SEARCH("Ordinance",$L40)),7/6,1) *
IF(OR(ISNUMBER(SEARCH("Melee",$L40)),ISNUMBER(SEARCH("Bypass",$L40))),1.5,1)</f>
        <v>1.1111111111111112</v>
      </c>
      <c r="AL40" s="17" cm="1">
        <f t="array" ref="AL40">$H40 *
IF(ISNUMBER(SEARCH("Rapid",$L40)),7/6,1) *
IF(OR(ISNUMBER(SEARCH("Beam",$L40)),ISNUMBER(SEARCH("Firestorm",$L40))),1, IF(ISNUMBER(SEARCH("Blast",$L40)),(4+$G40+(2-$G40)*0.5)/6*2,(4+$G40)/6)) *
_xlfn.IFS(AL$24-$I40 &lt;=1, 5/6, AL$24-$I40 &lt;=5, (7-(AL$24-$I40))/6, AND(AL$24-$I40 =6,NOT(_xlfn.IFNA(ISNUMBER(SEARCH("Rending",$L40)),FALSE))), (7-(AL$24-$I40))/6, AND(AL$24-$I40 &gt;=7,NOT(_xlfn.IFNA(ISNUMBER(SEARCH("Rending",$L40)),FALSE))), 0, AL$24-$I40 =7, (7-(AL$24-1-$I40))/6, AL$24-$I40 =8, (7-(AL$24-2-$I40))/6*2/3, AL$24-$I40 =9, (7-(AL$24-3-$I40))/6*1/3, TRUE, 0) *
IF(ISNUMBER(SEARCH("Ordinance",$L40)),7/6,1) *
IF(OR(ISNUMBER(SEARCH("Melee",$L40)),ISNUMBER(SEARCH("Bypass",$L40))),1.5,1)</f>
        <v>1.1111111111111112</v>
      </c>
      <c r="AM40" s="17" cm="1">
        <f t="array" ref="AM40">$H40 *
IF(ISNUMBER(SEARCH("Rapid",$L40)),7/6,1) *
IF(OR(ISNUMBER(SEARCH("Beam",$L40)),ISNUMBER(SEARCH("Firestorm",$L40))),1, IF(ISNUMBER(SEARCH("Blast",$L40)),(4+$G40+(2-$G40)*0.5)/6*2,(4+$G40)/6)) *
_xlfn.IFS(AM$24-$I40 &lt;=1, 5/6, AM$24-$I40 &lt;=5, (7-(AM$24-$I40))/6, AND(AM$24-$I40 =6,NOT(_xlfn.IFNA(ISNUMBER(SEARCH("Rending",$L40)),FALSE))), (7-(AM$24-$I40))/6, AND(AM$24-$I40 &gt;=7,NOT(_xlfn.IFNA(ISNUMBER(SEARCH("Rending",$L40)),FALSE))), 0, AM$24-$I40 =7, (7-(AM$24-1-$I40))/6, AM$24-$I40 =8, (7-(AM$24-2-$I40))/6*2/3, AM$24-$I40 =9, (7-(AM$24-3-$I40))/6*1/3, TRUE, 0) *
IF(ISNUMBER(SEARCH("Ordinance",$L40)),7/6,1) *
IF(OR(ISNUMBER(SEARCH("Melee",$L40)),ISNUMBER(SEARCH("Bypass",$L40))),1.5,1)</f>
        <v>1.1111111111111112</v>
      </c>
      <c r="AN40" s="17" cm="1">
        <f t="array" ref="AN40">$H40 *
IF(ISNUMBER(SEARCH("Rapid",$L40)),7/6,1) *
IF(OR(ISNUMBER(SEARCH("Beam",$L40)),ISNUMBER(SEARCH("Firestorm",$L40))),1, IF(ISNUMBER(SEARCH("Blast",$L40)),(4+$G40+(2-$G40)*0.5)/6*2,(4+$G40)/6)) *
_xlfn.IFS(AN$24-$I40 &lt;=1, 5/6, AN$24-$I40 &lt;=5, (7-(AN$24-$I40))/6, AND(AN$24-$I40 =6,NOT(_xlfn.IFNA(ISNUMBER(SEARCH("Rending",$L40)),FALSE))), (7-(AN$24-$I40))/6, AND(AN$24-$I40 &gt;=7,NOT(_xlfn.IFNA(ISNUMBER(SEARCH("Rending",$L40)),FALSE))), 0, AN$24-$I40 =7, (7-(AN$24-1-$I40))/6, AN$24-$I40 =8, (7-(AN$24-2-$I40))/6*2/3, AN$24-$I40 =9, (7-(AN$24-3-$I40))/6*1/3, TRUE, 0) *
IF(ISNUMBER(SEARCH("Ordinance",$L40)),7/6,1) *
IF(OR(ISNUMBER(SEARCH("Melee",$L40)),ISNUMBER(SEARCH("Bypass",$L40))),1.5,1)</f>
        <v>0.88888888888888884</v>
      </c>
      <c r="AO40" s="17" cm="1">
        <f t="array" ref="AO40">$H40 *
IF(ISNUMBER(SEARCH("Rapid",$L40)),7/6,1) *
IF(OR(ISNUMBER(SEARCH("Beam",$L40)),ISNUMBER(SEARCH("Firestorm",$L40))),1, IF(ISNUMBER(SEARCH("Blast",$L40)),(4+$G40+(2-$G40)*0.5)/6*2,(4+$G40)/6)) *
_xlfn.IFS(AO$24-$I40 &lt;=1, 5/6, AO$24-$I40 &lt;=5, (7-(AO$24-$I40))/6, AND(AO$24-$I40 =6,NOT(_xlfn.IFNA(ISNUMBER(SEARCH("Rending",$L40)),FALSE))), (7-(AO$24-$I40))/6, AND(AO$24-$I40 &gt;=7,NOT(_xlfn.IFNA(ISNUMBER(SEARCH("Rending",$L40)),FALSE))), 0, AO$24-$I40 =7, (7-(AO$24-1-$I40))/6, AO$24-$I40 =8, (7-(AO$24-2-$I40))/6*2/3, AO$24-$I40 =9, (7-(AO$24-3-$I40))/6*1/3, TRUE, 0) *
IF(ISNUMBER(SEARCH("Ordinance",$L40)),7/6,1) *
IF(OR(ISNUMBER(SEARCH("Melee",$L40)),ISNUMBER(SEARCH("Bypass",$L40))),1.5,1)</f>
        <v>0.66666666666666663</v>
      </c>
      <c r="AP40" s="17" cm="1">
        <f t="array" ref="AP40">$H40 *
IF(ISNUMBER(SEARCH("Rapid",$L40)),7/6,1) *
IF(OR(ISNUMBER(SEARCH("Beam",$L40)),ISNUMBER(SEARCH("Firestorm",$L40))),1, IF(ISNUMBER(SEARCH("Blast",$L40)),(4+$G40+(2-$G40)*0.5)/6*2,(4+$G40)/6)) *
_xlfn.IFS(AP$24-$I40 &lt;=1, 5/6, AP$24-$I40 &lt;=5, (7-(AP$24-$I40))/6, AND(AP$24-$I40 =6,NOT(_xlfn.IFNA(ISNUMBER(SEARCH("Rending",$L40)),FALSE))), (7-(AP$24-$I40))/6, AND(AP$24-$I40 &gt;=7,NOT(_xlfn.IFNA(ISNUMBER(SEARCH("Rending",$L40)),FALSE))), 0, AP$24-$I40 =7, (7-(AP$24-1-$I40))/6, AP$24-$I40 =8, (7-(AP$24-2-$I40))/6*2/3, AP$24-$I40 =9, (7-(AP$24-3-$I40))/6*1/3, TRUE, 0) *
IF(ISNUMBER(SEARCH("Ordinance",$L40)),7/6,1) *
IF(OR(ISNUMBER(SEARCH("Melee",$L40)),ISNUMBER(SEARCH("Bypass",$L40))),1.5,1)</f>
        <v>0.44444444444444442</v>
      </c>
      <c r="AQ40" s="17" cm="1">
        <f t="array" ref="AQ40">$H40 *
IF(ISNUMBER(SEARCH("Rapid",$L40)),7/6,1) *
IF(OR(ISNUMBER(SEARCH("Beam",$L40)),ISNUMBER(SEARCH("Firestorm",$L40))),1, IF(ISNUMBER(SEARCH("Blast",$L40)),(4+$G40+(2-$G40)*0.5)/6*2,(4+$G40)/6)) *
_xlfn.IFS(AQ$24-$I40 &lt;=1, 5/6, AQ$24-$I40 &lt;=5, (7-(AQ$24-$I40))/6, AND(AQ$24-$I40 =6,NOT(_xlfn.IFNA(ISNUMBER(SEARCH("Rending",$L40)),FALSE))), (7-(AQ$24-$I40))/6, AND(AQ$24-$I40 &gt;=7,NOT(_xlfn.IFNA(ISNUMBER(SEARCH("Rending",$L40)),FALSE))), 0, AQ$24-$I40 =7, (7-(AQ$24-1-$I40))/6, AQ$24-$I40 =8, (7-(AQ$24-2-$I40))/6*2/3, AQ$24-$I40 =9, (7-(AQ$24-3-$I40))/6*1/3, TRUE, 0) *
IF(ISNUMBER(SEARCH("Ordinance",$L40)),7/6,1) *
IF(OR(ISNUMBER(SEARCH("Melee",$L40)),ISNUMBER(SEARCH("Bypass",$L40))),1.5,1)</f>
        <v>0.22222222222222221</v>
      </c>
      <c r="AS40" s="16">
        <f t="shared" si="7"/>
        <v>0.16296296296296298</v>
      </c>
      <c r="AT40" s="16">
        <f t="shared" si="7"/>
        <v>0.24444444444444446</v>
      </c>
      <c r="AU40" s="16">
        <f>IF(D40+E40=3,
 IF(E40=3, 2.5*AI40,
  IF(E40=2, 1.8*AI40+0.7*X40,
   IF(E40=1, 0.95*AI40+1.55*X40,
    2.5*X40))),
 IF(D40+E40=2,
  IF(E40=2, 1.55*AI40,
   IF(E40 =1, 0.85*AI40+0.7*X40,
    1.55*X40)),
  IF(E40=1, 0.95*AI40,
   0.7*X40))
)/3</f>
        <v>0.92592592592592593</v>
      </c>
      <c r="AV40" s="2">
        <v>10</v>
      </c>
    </row>
    <row r="41" spans="1:48" x14ac:dyDescent="0.3">
      <c r="A41" t="s">
        <v>800</v>
      </c>
      <c r="B41" s="3">
        <v>6</v>
      </c>
      <c r="C41" s="3">
        <v>10</v>
      </c>
      <c r="D41" s="3">
        <v>1</v>
      </c>
      <c r="E41" s="3">
        <v>1</v>
      </c>
      <c r="G41" s="3">
        <v>-1</v>
      </c>
      <c r="H41" s="3">
        <v>2</v>
      </c>
      <c r="I41" s="3">
        <v>9</v>
      </c>
      <c r="J41" s="3" t="s">
        <v>198</v>
      </c>
      <c r="K41" s="3">
        <v>25</v>
      </c>
      <c r="L41" s="3" t="s">
        <v>481</v>
      </c>
      <c r="M41" s="3" t="s">
        <v>199</v>
      </c>
      <c r="N41" s="3">
        <v>9</v>
      </c>
      <c r="O41" s="3">
        <v>9</v>
      </c>
      <c r="P41" s="3">
        <v>13</v>
      </c>
      <c r="Q41" s="3" t="s">
        <v>200</v>
      </c>
      <c r="R41" s="3">
        <v>7</v>
      </c>
      <c r="S41" s="3">
        <v>9</v>
      </c>
      <c r="T41" s="3">
        <v>4</v>
      </c>
      <c r="V41" s="16">
        <f t="shared" si="1"/>
        <v>0.44444444444444442</v>
      </c>
      <c r="W41" s="16">
        <f t="shared" si="2"/>
        <v>0.66666666666666663</v>
      </c>
      <c r="X41" s="17" cm="1">
        <f t="array" ref="X41">$H41 *
IF(ISNUMBER(SEARCH("Rapid",$L41)),7/6,1) *
IF(OR(ISNUMBER(SEARCH("Beam",$L41)),ISNUMBER(SEARCH("Firestorm",$L41))),1, IF(ISNUMBER(SEARCH("Blast",$L41)),(4+$F41+(2-$F41)*0.5)/6*2,(4+$F41)/6)) *
IF(ISNUMBER(SEARCH("Fusion",$L41)), _xlfn.IFS(X$24-$I41 &lt;=1, 9/10, X$24-$I41 &lt;=10,(11-(X$24-$I41))/10, X$24-$I41 &gt;=11, 0),
_xlfn.IFS(X$24-$I41 &lt;=1, 5/6, X$24-$I41 &lt;=5, (7-(X$24-$I41))/6, AND(X$24-$I41 =6,NOT(_xlfn.IFNA(ISNUMBER(SEARCH("Rending",$L41)),FALSE))), (7-(X$24-$I41))/6, AND(X$24-$I41 &gt;=7,NOT(_xlfn.IFNA(ISNUMBER(SEARCH("Rending",$L41)),FALSE))), 0, X$24-$I41 =7, (7-(X$24-1-$I41))/6, X$24-$I41 =8, (7-(X$24-2-$I41))/6*2/3, X$24-$I41 =9, (7-(X$24-3-$I41))/6*1/3, TRUE, 0)) *
IF(ISNUMBER(SEARCH("Ordinance",$L41)),7/6,1) *
IF(OR(ISNUMBER(SEARCH("Melee",$L41)),ISNUMBER(SEARCH("Bypass",$L41))),1.5,1)</f>
        <v>1.2</v>
      </c>
      <c r="Y41" s="17" cm="1">
        <f t="array" ref="Y41">$H41 *
IF(ISNUMBER(SEARCH("Rapid",$L41)),7/6,1) *
IF(OR(ISNUMBER(SEARCH("Beam",$L41)),ISNUMBER(SEARCH("Firestorm",$L41))),1, IF(ISNUMBER(SEARCH("Blast",$L41)),(4+$F41+(2-$F41)*0.5)/6*2,(4+$F41)/6)) *
IF(ISNUMBER(SEARCH("Fusion",$L41)), _xlfn.IFS(Y$24-$I41 &lt;=1, 9/10, Y$24-$I41 &lt;=10,(11-(Y$24-$I41))/10, Y$24-$I41 &gt;=11, 0),
_xlfn.IFS(Y$24-$I41 &lt;=1, 5/6, Y$24-$I41 &lt;=5, (7-(Y$24-$I41))/6, AND(Y$24-$I41 =6,NOT(_xlfn.IFNA(ISNUMBER(SEARCH("Rending",$L41)),FALSE))), (7-(Y$24-$I41))/6, AND(Y$24-$I41 &gt;=7,NOT(_xlfn.IFNA(ISNUMBER(SEARCH("Rending",$L41)),FALSE))), 0, Y$24-$I41 =7, (7-(Y$24-1-$I41))/6, Y$24-$I41 =8, (7-(Y$24-2-$I41))/6*2/3, Y$24-$I41 =9, (7-(Y$24-3-$I41))/6*1/3, TRUE, 0)) *
IF(ISNUMBER(SEARCH("Ordinance",$L41)),7/6,1) *
IF(OR(ISNUMBER(SEARCH("Melee",$L41)),ISNUMBER(SEARCH("Bypass",$L41))),1.5,1)</f>
        <v>1.2</v>
      </c>
      <c r="Z41" s="17" cm="1">
        <f t="array" ref="Z41">$H41 *
IF(ISNUMBER(SEARCH("Rapid",$L41)),7/6,1) *
IF(OR(ISNUMBER(SEARCH("Beam",$L41)),ISNUMBER(SEARCH("Firestorm",$L41))),1, IF(ISNUMBER(SEARCH("Blast",$L41)),(4+$F41+(2-$F41)*0.5)/6*2,(4+$F41)/6)) *
IF(ISNUMBER(SEARCH("Fusion",$L41)), _xlfn.IFS(Z$24-$I41 &lt;=1, 9/10, Z$24-$I41 &lt;=10,(11-(Z$24-$I41))/10, Z$24-$I41 &gt;=11, 0),
_xlfn.IFS(Z$24-$I41 &lt;=1, 5/6, Z$24-$I41 &lt;=5, (7-(Z$24-$I41))/6, AND(Z$24-$I41 =6,NOT(_xlfn.IFNA(ISNUMBER(SEARCH("Rending",$L41)),FALSE))), (7-(Z$24-$I41))/6, AND(Z$24-$I41 &gt;=7,NOT(_xlfn.IFNA(ISNUMBER(SEARCH("Rending",$L41)),FALSE))), 0, Z$24-$I41 =7, (7-(Z$24-1-$I41))/6, Z$24-$I41 =8, (7-(Z$24-2-$I41))/6*2/3, Z$24-$I41 =9, (7-(Z$24-3-$I41))/6*1/3, TRUE, 0)) *
IF(ISNUMBER(SEARCH("Ordinance",$L41)),7/6,1) *
IF(OR(ISNUMBER(SEARCH("Melee",$L41)),ISNUMBER(SEARCH("Bypass",$L41))),1.5,1)</f>
        <v>1.2</v>
      </c>
      <c r="AA41" s="17" cm="1">
        <f t="array" ref="AA41">$H41 *
IF(ISNUMBER(SEARCH("Rapid",$L41)),7/6,1) *
IF(OR(ISNUMBER(SEARCH("Beam",$L41)),ISNUMBER(SEARCH("Firestorm",$L41))),1, IF(ISNUMBER(SEARCH("Blast",$L41)),(4+$F41+(2-$F41)*0.5)/6*2,(4+$F41)/6)) *
IF(ISNUMBER(SEARCH("Fusion",$L41)), _xlfn.IFS(AA$24-$I41 &lt;=1, 9/10, AA$24-$I41 &lt;=10,(11-(AA$24-$I41))/10, AA$24-$I41 &gt;=11, 0),
_xlfn.IFS(AA$24-$I41 &lt;=1, 5/6, AA$24-$I41 &lt;=5, (7-(AA$24-$I41))/6, AND(AA$24-$I41 =6,NOT(_xlfn.IFNA(ISNUMBER(SEARCH("Rending",$L41)),FALSE))), (7-(AA$24-$I41))/6, AND(AA$24-$I41 &gt;=7,NOT(_xlfn.IFNA(ISNUMBER(SEARCH("Rending",$L41)),FALSE))), 0, AA$24-$I41 =7, (7-(AA$24-1-$I41))/6, AA$24-$I41 =8, (7-(AA$24-2-$I41))/6*2/3, AA$24-$I41 =9, (7-(AA$24-3-$I41))/6*1/3, TRUE, 0)) *
IF(ISNUMBER(SEARCH("Ordinance",$L41)),7/6,1) *
IF(OR(ISNUMBER(SEARCH("Melee",$L41)),ISNUMBER(SEARCH("Bypass",$L41))),1.5,1)</f>
        <v>1.0666666666666667</v>
      </c>
      <c r="AB41" s="17" cm="1">
        <f t="array" ref="AB41">$H41 *
IF(ISNUMBER(SEARCH("Rapid",$L41)),7/6,1) *
IF(OR(ISNUMBER(SEARCH("Beam",$L41)),ISNUMBER(SEARCH("Firestorm",$L41))),1, IF(ISNUMBER(SEARCH("Blast",$L41)),(4+$F41+(2-$F41)*0.5)/6*2,(4+$F41)/6)) *
IF(ISNUMBER(SEARCH("Fusion",$L41)), _xlfn.IFS(AB$24-$I41 &lt;=1, 9/10, AB$24-$I41 &lt;=10,(11-(AB$24-$I41))/10, AB$24-$I41 &gt;=11, 0),
_xlfn.IFS(AB$24-$I41 &lt;=1, 5/6, AB$24-$I41 &lt;=5, (7-(AB$24-$I41))/6, AND(AB$24-$I41 =6,NOT(_xlfn.IFNA(ISNUMBER(SEARCH("Rending",$L41)),FALSE))), (7-(AB$24-$I41))/6, AND(AB$24-$I41 &gt;=7,NOT(_xlfn.IFNA(ISNUMBER(SEARCH("Rending",$L41)),FALSE))), 0, AB$24-$I41 =7, (7-(AB$24-1-$I41))/6, AB$24-$I41 =8, (7-(AB$24-2-$I41))/6*2/3, AB$24-$I41 =9, (7-(AB$24-3-$I41))/6*1/3, TRUE, 0)) *
IF(ISNUMBER(SEARCH("Ordinance",$L41)),7/6,1) *
IF(OR(ISNUMBER(SEARCH("Melee",$L41)),ISNUMBER(SEARCH("Bypass",$L41))),1.5,1)</f>
        <v>0.93333333333333324</v>
      </c>
      <c r="AC41" s="17" cm="1">
        <f t="array" ref="AC41">$H41 *
IF(ISNUMBER(SEARCH("Rapid",$L41)),7/6,1) *
IF(OR(ISNUMBER(SEARCH("Beam",$L41)),ISNUMBER(SEARCH("Firestorm",$L41))),1, IF(ISNUMBER(SEARCH("Blast",$L41)),(4+$F41+(2-$F41)*0.5)/6*2,(4+$F41)/6)) *
IF(ISNUMBER(SEARCH("Fusion",$L41)), _xlfn.IFS(AC$24-$I41 &lt;=1, 9/10, AC$24-$I41 &lt;=10,(11-(AC$24-$I41))/10, AC$24-$I41 &gt;=11, 0),
_xlfn.IFS(AC$24-$I41 &lt;=1, 5/6, AC$24-$I41 &lt;=5, (7-(AC$24-$I41))/6, AND(AC$24-$I41 =6,NOT(_xlfn.IFNA(ISNUMBER(SEARCH("Rending",$L41)),FALSE))), (7-(AC$24-$I41))/6, AND(AC$24-$I41 &gt;=7,NOT(_xlfn.IFNA(ISNUMBER(SEARCH("Rending",$L41)),FALSE))), 0, AC$24-$I41 =7, (7-(AC$24-1-$I41))/6, AC$24-$I41 =8, (7-(AC$24-2-$I41))/6*2/3, AC$24-$I41 =9, (7-(AC$24-3-$I41))/6*1/3, TRUE, 0)) *
IF(ISNUMBER(SEARCH("Ordinance",$L41)),7/6,1) *
IF(OR(ISNUMBER(SEARCH("Melee",$L41)),ISNUMBER(SEARCH("Bypass",$L41))),1.5,1)</f>
        <v>0.79999999999999993</v>
      </c>
      <c r="AD41" s="17" cm="1">
        <f t="array" ref="AD41">$H41 *
IF(ISNUMBER(SEARCH("Rapid",$L41)),7/6,1) *
IF(OR(ISNUMBER(SEARCH("Beam",$L41)),ISNUMBER(SEARCH("Firestorm",$L41))),1, IF(ISNUMBER(SEARCH("Blast",$L41)),(4+$F41+(2-$F41)*0.5)/6*2,(4+$F41)/6)) *
IF(ISNUMBER(SEARCH("Fusion",$L41)), _xlfn.IFS(AD$24-$I41 &lt;=1, 9/10, AD$24-$I41 &lt;=10,(11-(AD$24-$I41))/10, AD$24-$I41 &gt;=11, 0),
_xlfn.IFS(AD$24-$I41 &lt;=1, 5/6, AD$24-$I41 &lt;=5, (7-(AD$24-$I41))/6, AND(AD$24-$I41 =6,NOT(_xlfn.IFNA(ISNUMBER(SEARCH("Rending",$L41)),FALSE))), (7-(AD$24-$I41))/6, AND(AD$24-$I41 &gt;=7,NOT(_xlfn.IFNA(ISNUMBER(SEARCH("Rending",$L41)),FALSE))), 0, AD$24-$I41 =7, (7-(AD$24-1-$I41))/6, AD$24-$I41 =8, (7-(AD$24-2-$I41))/6*2/3, AD$24-$I41 =9, (7-(AD$24-3-$I41))/6*1/3, TRUE, 0)) *
IF(ISNUMBER(SEARCH("Ordinance",$L41)),7/6,1) *
IF(OR(ISNUMBER(SEARCH("Melee",$L41)),ISNUMBER(SEARCH("Bypass",$L41))),1.5,1)</f>
        <v>0.66666666666666663</v>
      </c>
      <c r="AE41" s="17" cm="1">
        <f t="array" ref="AE41">$H41 *
IF(ISNUMBER(SEARCH("Rapid",$L41)),7/6,1) *
IF(OR(ISNUMBER(SEARCH("Beam",$L41)),ISNUMBER(SEARCH("Firestorm",$L41))),1, IF(ISNUMBER(SEARCH("Blast",$L41)),(4+$F41+(2-$F41)*0.5)/6*2,(4+$F41)/6)) *
IF(ISNUMBER(SEARCH("Fusion",$L41)), _xlfn.IFS(AE$24-$I41 &lt;=1, 9/10, AE$24-$I41 &lt;=10,(11-(AE$24-$I41))/10, AE$24-$I41 &gt;=11, 0),
_xlfn.IFS(AE$24-$I41 &lt;=1, 5/6, AE$24-$I41 &lt;=5, (7-(AE$24-$I41))/6, AND(AE$24-$I41 =6,NOT(_xlfn.IFNA(ISNUMBER(SEARCH("Rending",$L41)),FALSE))), (7-(AE$24-$I41))/6, AND(AE$24-$I41 &gt;=7,NOT(_xlfn.IFNA(ISNUMBER(SEARCH("Rending",$L41)),FALSE))), 0, AE$24-$I41 =7, (7-(AE$24-1-$I41))/6, AE$24-$I41 =8, (7-(AE$24-2-$I41))/6*2/3, AE$24-$I41 =9, (7-(AE$24-3-$I41))/6*1/3, TRUE, 0)) *
IF(ISNUMBER(SEARCH("Ordinance",$L41)),7/6,1) *
IF(OR(ISNUMBER(SEARCH("Melee",$L41)),ISNUMBER(SEARCH("Bypass",$L41))),1.5,1)</f>
        <v>0.53333333333333333</v>
      </c>
      <c r="AF41" s="17" cm="1">
        <f t="array" ref="AF41">$H41 *
IF(ISNUMBER(SEARCH("Rapid",$L41)),7/6,1) *
IF(OR(ISNUMBER(SEARCH("Beam",$L41)),ISNUMBER(SEARCH("Firestorm",$L41))),1, IF(ISNUMBER(SEARCH("Blast",$L41)),(4+$F41+(2-$F41)*0.5)/6*2,(4+$F41)/6)) *
IF(ISNUMBER(SEARCH("Fusion",$L41)), _xlfn.IFS(AF$24-$I41 &lt;=1, 9/10, AF$24-$I41 &lt;=10,(11-(AF$24-$I41))/10, AF$24-$I41 &gt;=11, 0),
_xlfn.IFS(AF$24-$I41 &lt;=1, 5/6, AF$24-$I41 &lt;=5, (7-(AF$24-$I41))/6, AND(AF$24-$I41 =6,NOT(_xlfn.IFNA(ISNUMBER(SEARCH("Rending",$L41)),FALSE))), (7-(AF$24-$I41))/6, AND(AF$24-$I41 &gt;=7,NOT(_xlfn.IFNA(ISNUMBER(SEARCH("Rending",$L41)),FALSE))), 0, AF$24-$I41 =7, (7-(AF$24-1-$I41))/6, AF$24-$I41 =8, (7-(AF$24-2-$I41))/6*2/3, AF$24-$I41 =9, (7-(AF$24-3-$I41))/6*1/3, TRUE, 0)) *
IF(ISNUMBER(SEARCH("Ordinance",$L41)),7/6,1) *
IF(OR(ISNUMBER(SEARCH("Melee",$L41)),ISNUMBER(SEARCH("Bypass",$L41))),1.5,1)</f>
        <v>0.39999999999999997</v>
      </c>
      <c r="AG41" s="16">
        <f t="shared" si="3"/>
        <v>0.33333333333333331</v>
      </c>
      <c r="AH41" s="16">
        <f t="shared" si="4"/>
        <v>0.5</v>
      </c>
      <c r="AI41" s="17" cm="1">
        <f t="array" ref="AI41">$H41 *
IF(ISNUMBER(SEARCH("Rapid",$L41)),7/6,1) *
IF(OR(ISNUMBER(SEARCH("Beam",$L41)),ISNUMBER(SEARCH("Firestorm",$L41))),1, IF(ISNUMBER(SEARCH("Blast",$L41)),(4+$G41+(2-$G41)*0.5)/6*2,(4+$G41)/6)) *
_xlfn.IFS(AI$24-$I41 &lt;=1, 5/6, AI$24-$I41 &lt;=5, (7-(AI$24-$I41))/6, AND(AI$24-$I41 =6,NOT(_xlfn.IFNA(ISNUMBER(SEARCH("Rending",$L41)),FALSE))), (7-(AI$24-$I41))/6, AND(AI$24-$I41 &gt;=7,NOT(_xlfn.IFNA(ISNUMBER(SEARCH("Rending",$L41)),FALSE))), 0, AI$24-$I41 =7, (7-(AI$24-1-$I41))/6, AI$24-$I41 =8, (7-(AI$24-2-$I41))/6*2/3, AI$24-$I41 =9, (7-(AI$24-3-$I41))/6*1/3, TRUE, 0) *
IF(ISNUMBER(SEARCH("Ordinance",$L41)),7/6,1) *
IF(OR(ISNUMBER(SEARCH("Melee",$L41)),ISNUMBER(SEARCH("Bypass",$L41))),1.5,1)</f>
        <v>0.83333333333333337</v>
      </c>
      <c r="AJ41" s="17" cm="1">
        <f t="array" ref="AJ41">$H41 *
IF(ISNUMBER(SEARCH("Rapid",$L41)),7/6,1) *
IF(OR(ISNUMBER(SEARCH("Beam",$L41)),ISNUMBER(SEARCH("Firestorm",$L41))),1, IF(ISNUMBER(SEARCH("Blast",$L41)),(4+$G41+(2-$G41)*0.5)/6*2,(4+$G41)/6)) *
_xlfn.IFS(AJ$24-$I41 &lt;=1, 5/6, AJ$24-$I41 &lt;=5, (7-(AJ$24-$I41))/6, AND(AJ$24-$I41 =6,NOT(_xlfn.IFNA(ISNUMBER(SEARCH("Rending",$L41)),FALSE))), (7-(AJ$24-$I41))/6, AND(AJ$24-$I41 &gt;=7,NOT(_xlfn.IFNA(ISNUMBER(SEARCH("Rending",$L41)),FALSE))), 0, AJ$24-$I41 =7, (7-(AJ$24-1-$I41))/6, AJ$24-$I41 =8, (7-(AJ$24-2-$I41))/6*2/3, AJ$24-$I41 =9, (7-(AJ$24-3-$I41))/6*1/3, TRUE, 0) *
IF(ISNUMBER(SEARCH("Ordinance",$L41)),7/6,1) *
IF(OR(ISNUMBER(SEARCH("Melee",$L41)),ISNUMBER(SEARCH("Bypass",$L41))),1.5,1)</f>
        <v>0.83333333333333337</v>
      </c>
      <c r="AK41" s="17" cm="1">
        <f t="array" ref="AK41">$H41 *
IF(ISNUMBER(SEARCH("Rapid",$L41)),7/6,1) *
IF(OR(ISNUMBER(SEARCH("Beam",$L41)),ISNUMBER(SEARCH("Firestorm",$L41))),1, IF(ISNUMBER(SEARCH("Blast",$L41)),(4+$G41+(2-$G41)*0.5)/6*2,(4+$G41)/6)) *
_xlfn.IFS(AK$24-$I41 &lt;=1, 5/6, AK$24-$I41 &lt;=5, (7-(AK$24-$I41))/6, AND(AK$24-$I41 =6,NOT(_xlfn.IFNA(ISNUMBER(SEARCH("Rending",$L41)),FALSE))), (7-(AK$24-$I41))/6, AND(AK$24-$I41 &gt;=7,NOT(_xlfn.IFNA(ISNUMBER(SEARCH("Rending",$L41)),FALSE))), 0, AK$24-$I41 =7, (7-(AK$24-1-$I41))/6, AK$24-$I41 =8, (7-(AK$24-2-$I41))/6*2/3, AK$24-$I41 =9, (7-(AK$24-3-$I41))/6*1/3, TRUE, 0) *
IF(ISNUMBER(SEARCH("Ordinance",$L41)),7/6,1) *
IF(OR(ISNUMBER(SEARCH("Melee",$L41)),ISNUMBER(SEARCH("Bypass",$L41))),1.5,1)</f>
        <v>0.83333333333333337</v>
      </c>
      <c r="AL41" s="17" cm="1">
        <f t="array" ref="AL41">$H41 *
IF(ISNUMBER(SEARCH("Rapid",$L41)),7/6,1) *
IF(OR(ISNUMBER(SEARCH("Beam",$L41)),ISNUMBER(SEARCH("Firestorm",$L41))),1, IF(ISNUMBER(SEARCH("Blast",$L41)),(4+$G41+(2-$G41)*0.5)/6*2,(4+$G41)/6)) *
_xlfn.IFS(AL$24-$I41 &lt;=1, 5/6, AL$24-$I41 &lt;=5, (7-(AL$24-$I41))/6, AND(AL$24-$I41 =6,NOT(_xlfn.IFNA(ISNUMBER(SEARCH("Rending",$L41)),FALSE))), (7-(AL$24-$I41))/6, AND(AL$24-$I41 &gt;=7,NOT(_xlfn.IFNA(ISNUMBER(SEARCH("Rending",$L41)),FALSE))), 0, AL$24-$I41 =7, (7-(AL$24-1-$I41))/6, AL$24-$I41 =8, (7-(AL$24-2-$I41))/6*2/3, AL$24-$I41 =9, (7-(AL$24-3-$I41))/6*1/3, TRUE, 0) *
IF(ISNUMBER(SEARCH("Ordinance",$L41)),7/6,1) *
IF(OR(ISNUMBER(SEARCH("Melee",$L41)),ISNUMBER(SEARCH("Bypass",$L41))),1.5,1)</f>
        <v>0.66666666666666663</v>
      </c>
      <c r="AM41" s="17" cm="1">
        <f t="array" ref="AM41">$H41 *
IF(ISNUMBER(SEARCH("Rapid",$L41)),7/6,1) *
IF(OR(ISNUMBER(SEARCH("Beam",$L41)),ISNUMBER(SEARCH("Firestorm",$L41))),1, IF(ISNUMBER(SEARCH("Blast",$L41)),(4+$G41+(2-$G41)*0.5)/6*2,(4+$G41)/6)) *
_xlfn.IFS(AM$24-$I41 &lt;=1, 5/6, AM$24-$I41 &lt;=5, (7-(AM$24-$I41))/6, AND(AM$24-$I41 =6,NOT(_xlfn.IFNA(ISNUMBER(SEARCH("Rending",$L41)),FALSE))), (7-(AM$24-$I41))/6, AND(AM$24-$I41 &gt;=7,NOT(_xlfn.IFNA(ISNUMBER(SEARCH("Rending",$L41)),FALSE))), 0, AM$24-$I41 =7, (7-(AM$24-1-$I41))/6, AM$24-$I41 =8, (7-(AM$24-2-$I41))/6*2/3, AM$24-$I41 =9, (7-(AM$24-3-$I41))/6*1/3, TRUE, 0) *
IF(ISNUMBER(SEARCH("Ordinance",$L41)),7/6,1) *
IF(OR(ISNUMBER(SEARCH("Melee",$L41)),ISNUMBER(SEARCH("Bypass",$L41))),1.5,1)</f>
        <v>0.5</v>
      </c>
      <c r="AN41" s="17" cm="1">
        <f t="array" ref="AN41">$H41 *
IF(ISNUMBER(SEARCH("Rapid",$L41)),7/6,1) *
IF(OR(ISNUMBER(SEARCH("Beam",$L41)),ISNUMBER(SEARCH("Firestorm",$L41))),1, IF(ISNUMBER(SEARCH("Blast",$L41)),(4+$G41+(2-$G41)*0.5)/6*2,(4+$G41)/6)) *
_xlfn.IFS(AN$24-$I41 &lt;=1, 5/6, AN$24-$I41 &lt;=5, (7-(AN$24-$I41))/6, AND(AN$24-$I41 =6,NOT(_xlfn.IFNA(ISNUMBER(SEARCH("Rending",$L41)),FALSE))), (7-(AN$24-$I41))/6, AND(AN$24-$I41 &gt;=7,NOT(_xlfn.IFNA(ISNUMBER(SEARCH("Rending",$L41)),FALSE))), 0, AN$24-$I41 =7, (7-(AN$24-1-$I41))/6, AN$24-$I41 =8, (7-(AN$24-2-$I41))/6*2/3, AN$24-$I41 =9, (7-(AN$24-3-$I41))/6*1/3, TRUE, 0) *
IF(ISNUMBER(SEARCH("Ordinance",$L41)),7/6,1) *
IF(OR(ISNUMBER(SEARCH("Melee",$L41)),ISNUMBER(SEARCH("Bypass",$L41))),1.5,1)</f>
        <v>0.33333333333333331</v>
      </c>
      <c r="AO41" s="17" cm="1">
        <f t="array" ref="AO41">$H41 *
IF(ISNUMBER(SEARCH("Rapid",$L41)),7/6,1) *
IF(OR(ISNUMBER(SEARCH("Beam",$L41)),ISNUMBER(SEARCH("Firestorm",$L41))),1, IF(ISNUMBER(SEARCH("Blast",$L41)),(4+$G41+(2-$G41)*0.5)/6*2,(4+$G41)/6)) *
_xlfn.IFS(AO$24-$I41 &lt;=1, 5/6, AO$24-$I41 &lt;=5, (7-(AO$24-$I41))/6, AND(AO$24-$I41 =6,NOT(_xlfn.IFNA(ISNUMBER(SEARCH("Rending",$L41)),FALSE))), (7-(AO$24-$I41))/6, AND(AO$24-$I41 &gt;=7,NOT(_xlfn.IFNA(ISNUMBER(SEARCH("Rending",$L41)),FALSE))), 0, AO$24-$I41 =7, (7-(AO$24-1-$I41))/6, AO$24-$I41 =8, (7-(AO$24-2-$I41))/6*2/3, AO$24-$I41 =9, (7-(AO$24-3-$I41))/6*1/3, TRUE, 0) *
IF(ISNUMBER(SEARCH("Ordinance",$L41)),7/6,1) *
IF(OR(ISNUMBER(SEARCH("Melee",$L41)),ISNUMBER(SEARCH("Bypass",$L41))),1.5,1)</f>
        <v>0.16666666666666666</v>
      </c>
      <c r="AP41" s="17" cm="1">
        <f t="array" ref="AP41">$H41 *
IF(ISNUMBER(SEARCH("Rapid",$L41)),7/6,1) *
IF(OR(ISNUMBER(SEARCH("Beam",$L41)),ISNUMBER(SEARCH("Firestorm",$L41))),1, IF(ISNUMBER(SEARCH("Blast",$L41)),(4+$G41+(2-$G41)*0.5)/6*2,(4+$G41)/6)) *
_xlfn.IFS(AP$24-$I41 &lt;=1, 5/6, AP$24-$I41 &lt;=5, (7-(AP$24-$I41))/6, AND(AP$24-$I41 =6,NOT(_xlfn.IFNA(ISNUMBER(SEARCH("Rending",$L41)),FALSE))), (7-(AP$24-$I41))/6, AND(AP$24-$I41 &gt;=7,NOT(_xlfn.IFNA(ISNUMBER(SEARCH("Rending",$L41)),FALSE))), 0, AP$24-$I41 =7, (7-(AP$24-1-$I41))/6, AP$24-$I41 =8, (7-(AP$24-2-$I41))/6*2/3, AP$24-$I41 =9, (7-(AP$24-3-$I41))/6*1/3, TRUE, 0) *
IF(ISNUMBER(SEARCH("Ordinance",$L41)),7/6,1) *
IF(OR(ISNUMBER(SEARCH("Melee",$L41)),ISNUMBER(SEARCH("Bypass",$L41))),1.5,1)</f>
        <v>0</v>
      </c>
      <c r="AQ41" s="17" cm="1">
        <f t="array" ref="AQ41">$H41 *
IF(ISNUMBER(SEARCH("Rapid",$L41)),7/6,1) *
IF(OR(ISNUMBER(SEARCH("Beam",$L41)),ISNUMBER(SEARCH("Firestorm",$L41))),1, IF(ISNUMBER(SEARCH("Blast",$L41)),(4+$G41+(2-$G41)*0.5)/6*2,(4+$G41)/6)) *
_xlfn.IFS(AQ$24-$I41 &lt;=1, 5/6, AQ$24-$I41 &lt;=5, (7-(AQ$24-$I41))/6, AND(AQ$24-$I41 =6,NOT(_xlfn.IFNA(ISNUMBER(SEARCH("Rending",$L41)),FALSE))), (7-(AQ$24-$I41))/6, AND(AQ$24-$I41 &gt;=7,NOT(_xlfn.IFNA(ISNUMBER(SEARCH("Rending",$L41)),FALSE))), 0, AQ$24-$I41 =7, (7-(AQ$24-1-$I41))/6, AQ$24-$I41 =8, (7-(AQ$24-2-$I41))/6*2/3, AQ$24-$I41 =9, (7-(AQ$24-3-$I41))/6*1/3, TRUE, 0) *
IF(ISNUMBER(SEARCH("Ordinance",$L41)),7/6,1) *
IF(OR(ISNUMBER(SEARCH("Melee",$L41)),ISNUMBER(SEARCH("Bypass",$L41))),1.5,1)</f>
        <v>0</v>
      </c>
      <c r="AS41" s="16">
        <f t="shared" si="7"/>
        <v>0.33333333333333331</v>
      </c>
      <c r="AT41" s="16">
        <f t="shared" si="7"/>
        <v>0.5</v>
      </c>
      <c r="AU41" s="16">
        <f>IF(D41+E41=3,
 IF(E41=3, 2.5*AI41,
  IF(E41=2, 1.8*AI41+0.7*X41,
   IF(E41=1, 0.95*AI41+1.55*X41,
    2.5*X41))),
 IF(D41+E41=2,
  IF(E41=2, 1.55*AI41,
   IF(E41 =1, 0.85*AI41+0.7*X41,
    1.55*X41)),
  IF(E41=1, 0.95*AI41,
   0.7*X41))
)/3</f>
        <v>0.51611111111111108</v>
      </c>
      <c r="AV41" s="2">
        <v>10</v>
      </c>
    </row>
    <row r="42" spans="1:48" x14ac:dyDescent="0.3">
      <c r="A42" t="s">
        <v>797</v>
      </c>
      <c r="B42" s="3">
        <v>12</v>
      </c>
      <c r="C42" s="3">
        <v>40</v>
      </c>
      <c r="E42" s="3">
        <v>3</v>
      </c>
      <c r="F42" s="3">
        <v>-1</v>
      </c>
      <c r="H42" s="3">
        <v>5</v>
      </c>
      <c r="I42" s="3">
        <v>4</v>
      </c>
      <c r="J42" s="3" t="s">
        <v>198</v>
      </c>
      <c r="K42" s="3">
        <v>10</v>
      </c>
      <c r="L42" s="3" t="s">
        <v>480</v>
      </c>
      <c r="M42" s="3" t="s">
        <v>199</v>
      </c>
      <c r="N42" s="3">
        <v>9</v>
      </c>
      <c r="O42" s="3">
        <v>9</v>
      </c>
      <c r="P42" s="3">
        <v>13</v>
      </c>
      <c r="Q42" s="3" t="s">
        <v>200</v>
      </c>
      <c r="R42" s="3">
        <v>7</v>
      </c>
      <c r="S42" s="3">
        <v>9</v>
      </c>
      <c r="T42" s="3">
        <v>3</v>
      </c>
      <c r="V42" s="16">
        <f t="shared" si="1"/>
        <v>0.97222222222222232</v>
      </c>
      <c r="W42" s="16">
        <f t="shared" si="2"/>
        <v>1.4583333333333335</v>
      </c>
      <c r="X42" s="17" cm="1">
        <f t="array" ref="X42">$H42 *
IF(ISNUMBER(SEARCH("Rapid",$L42)),7/6,1) *
IF(OR(ISNUMBER(SEARCH("Beam",$L42)),ISNUMBER(SEARCH("Firestorm",$L42))),1, IF(ISNUMBER(SEARCH("Blast",$L42)),(4+$F42+(2-$F42)*0.5)/6*2,(4+$F42)/6)) *
IF(ISNUMBER(SEARCH("Fusion",$L42)), _xlfn.IFS(X$24-$I42 &lt;=1, 9/10, X$24-$I42 &lt;=10,(11-(X$24-$I42))/10, X$24-$I42 &gt;=11, 0),
_xlfn.IFS(X$24-$I42 &lt;=1, 5/6, X$24-$I42 &lt;=5, (7-(X$24-$I42))/6, AND(X$24-$I42 =6,NOT(_xlfn.IFNA(ISNUMBER(SEARCH("Rending",$L42)),FALSE))), (7-(X$24-$I42))/6, AND(X$24-$I42 &gt;=7,NOT(_xlfn.IFNA(ISNUMBER(SEARCH("Rending",$L42)),FALSE))), 0, X$24-$I42 =7, (7-(X$24-1-$I42))/6, X$24-$I42 =8, (7-(X$24-2-$I42))/6*2/3, X$24-$I42 =9, (7-(X$24-3-$I42))/6*1/3, TRUE, 0)) *
IF(ISNUMBER(SEARCH("Ordinance",$L42)),7/6,1) *
IF(OR(ISNUMBER(SEARCH("Melee",$L42)),ISNUMBER(SEARCH("Bypass",$L42))),1.5,1)</f>
        <v>0.97222222222222232</v>
      </c>
      <c r="Y42" s="17" cm="1">
        <f t="array" ref="Y42">$H42 *
IF(ISNUMBER(SEARCH("Rapid",$L42)),7/6,1) *
IF(OR(ISNUMBER(SEARCH("Beam",$L42)),ISNUMBER(SEARCH("Firestorm",$L42))),1, IF(ISNUMBER(SEARCH("Blast",$L42)),(4+$F42+(2-$F42)*0.5)/6*2,(4+$F42)/6)) *
IF(ISNUMBER(SEARCH("Fusion",$L42)), _xlfn.IFS(Y$24-$I42 &lt;=1, 9/10, Y$24-$I42 &lt;=10,(11-(Y$24-$I42))/10, Y$24-$I42 &gt;=11, 0),
_xlfn.IFS(Y$24-$I42 &lt;=1, 5/6, Y$24-$I42 &lt;=5, (7-(Y$24-$I42))/6, AND(Y$24-$I42 =6,NOT(_xlfn.IFNA(ISNUMBER(SEARCH("Rending",$L42)),FALSE))), (7-(Y$24-$I42))/6, AND(Y$24-$I42 &gt;=7,NOT(_xlfn.IFNA(ISNUMBER(SEARCH("Rending",$L42)),FALSE))), 0, Y$24-$I42 =7, (7-(Y$24-1-$I42))/6, Y$24-$I42 =8, (7-(Y$24-2-$I42))/6*2/3, Y$24-$I42 =9, (7-(Y$24-3-$I42))/6*1/3, TRUE, 0)) *
IF(ISNUMBER(SEARCH("Ordinance",$L42)),7/6,1) *
IF(OR(ISNUMBER(SEARCH("Melee",$L42)),ISNUMBER(SEARCH("Bypass",$L42))),1.5,1)</f>
        <v>0.48611111111111116</v>
      </c>
      <c r="Z42" s="17" cm="1">
        <f t="array" ref="Z42">$H42 *
IF(ISNUMBER(SEARCH("Rapid",$L42)),7/6,1) *
IF(OR(ISNUMBER(SEARCH("Beam",$L42)),ISNUMBER(SEARCH("Firestorm",$L42))),1, IF(ISNUMBER(SEARCH("Blast",$L42)),(4+$F42+(2-$F42)*0.5)/6*2,(4+$F42)/6)) *
IF(ISNUMBER(SEARCH("Fusion",$L42)), _xlfn.IFS(Z$24-$I42 &lt;=1, 9/10, Z$24-$I42 &lt;=10,(11-(Z$24-$I42))/10, Z$24-$I42 &gt;=11, 0),
_xlfn.IFS(Z$24-$I42 &lt;=1, 5/6, Z$24-$I42 &lt;=5, (7-(Z$24-$I42))/6, AND(Z$24-$I42 =6,NOT(_xlfn.IFNA(ISNUMBER(SEARCH("Rending",$L42)),FALSE))), (7-(Z$24-$I42))/6, AND(Z$24-$I42 &gt;=7,NOT(_xlfn.IFNA(ISNUMBER(SEARCH("Rending",$L42)),FALSE))), 0, Z$24-$I42 =7, (7-(Z$24-1-$I42))/6, Z$24-$I42 =8, (7-(Z$24-2-$I42))/6*2/3, Z$24-$I42 =9, (7-(Z$24-3-$I42))/6*1/3, TRUE, 0)) *
IF(ISNUMBER(SEARCH("Ordinance",$L42)),7/6,1) *
IF(OR(ISNUMBER(SEARCH("Melee",$L42)),ISNUMBER(SEARCH("Bypass",$L42))),1.5,1)</f>
        <v>0</v>
      </c>
      <c r="AA42" s="17" cm="1">
        <f t="array" ref="AA42">$H42 *
IF(ISNUMBER(SEARCH("Rapid",$L42)),7/6,1) *
IF(OR(ISNUMBER(SEARCH("Beam",$L42)),ISNUMBER(SEARCH("Firestorm",$L42))),1, IF(ISNUMBER(SEARCH("Blast",$L42)),(4+$F42+(2-$F42)*0.5)/6*2,(4+$F42)/6)) *
IF(ISNUMBER(SEARCH("Fusion",$L42)), _xlfn.IFS(AA$24-$I42 &lt;=1, 9/10, AA$24-$I42 &lt;=10,(11-(AA$24-$I42))/10, AA$24-$I42 &gt;=11, 0),
_xlfn.IFS(AA$24-$I42 &lt;=1, 5/6, AA$24-$I42 &lt;=5, (7-(AA$24-$I42))/6, AND(AA$24-$I42 =6,NOT(_xlfn.IFNA(ISNUMBER(SEARCH("Rending",$L42)),FALSE))), (7-(AA$24-$I42))/6, AND(AA$24-$I42 &gt;=7,NOT(_xlfn.IFNA(ISNUMBER(SEARCH("Rending",$L42)),FALSE))), 0, AA$24-$I42 =7, (7-(AA$24-1-$I42))/6, AA$24-$I42 =8, (7-(AA$24-2-$I42))/6*2/3, AA$24-$I42 =9, (7-(AA$24-3-$I42))/6*1/3, TRUE, 0)) *
IF(ISNUMBER(SEARCH("Ordinance",$L42)),7/6,1) *
IF(OR(ISNUMBER(SEARCH("Melee",$L42)),ISNUMBER(SEARCH("Bypass",$L42))),1.5,1)</f>
        <v>0</v>
      </c>
      <c r="AB42" s="17" cm="1">
        <f t="array" ref="AB42">$H42 *
IF(ISNUMBER(SEARCH("Rapid",$L42)),7/6,1) *
IF(OR(ISNUMBER(SEARCH("Beam",$L42)),ISNUMBER(SEARCH("Firestorm",$L42))),1, IF(ISNUMBER(SEARCH("Blast",$L42)),(4+$F42+(2-$F42)*0.5)/6*2,(4+$F42)/6)) *
IF(ISNUMBER(SEARCH("Fusion",$L42)), _xlfn.IFS(AB$24-$I42 &lt;=1, 9/10, AB$24-$I42 &lt;=10,(11-(AB$24-$I42))/10, AB$24-$I42 &gt;=11, 0),
_xlfn.IFS(AB$24-$I42 &lt;=1, 5/6, AB$24-$I42 &lt;=5, (7-(AB$24-$I42))/6, AND(AB$24-$I42 =6,NOT(_xlfn.IFNA(ISNUMBER(SEARCH("Rending",$L42)),FALSE))), (7-(AB$24-$I42))/6, AND(AB$24-$I42 &gt;=7,NOT(_xlfn.IFNA(ISNUMBER(SEARCH("Rending",$L42)),FALSE))), 0, AB$24-$I42 =7, (7-(AB$24-1-$I42))/6, AB$24-$I42 =8, (7-(AB$24-2-$I42))/6*2/3, AB$24-$I42 =9, (7-(AB$24-3-$I42))/6*1/3, TRUE, 0)) *
IF(ISNUMBER(SEARCH("Ordinance",$L42)),7/6,1) *
IF(OR(ISNUMBER(SEARCH("Melee",$L42)),ISNUMBER(SEARCH("Bypass",$L42))),1.5,1)</f>
        <v>0</v>
      </c>
      <c r="AC42" s="17" cm="1">
        <f t="array" ref="AC42">$H42 *
IF(ISNUMBER(SEARCH("Rapid",$L42)),7/6,1) *
IF(OR(ISNUMBER(SEARCH("Beam",$L42)),ISNUMBER(SEARCH("Firestorm",$L42))),1, IF(ISNUMBER(SEARCH("Blast",$L42)),(4+$F42+(2-$F42)*0.5)/6*2,(4+$F42)/6)) *
IF(ISNUMBER(SEARCH("Fusion",$L42)), _xlfn.IFS(AC$24-$I42 &lt;=1, 9/10, AC$24-$I42 &lt;=10,(11-(AC$24-$I42))/10, AC$24-$I42 &gt;=11, 0),
_xlfn.IFS(AC$24-$I42 &lt;=1, 5/6, AC$24-$I42 &lt;=5, (7-(AC$24-$I42))/6, AND(AC$24-$I42 =6,NOT(_xlfn.IFNA(ISNUMBER(SEARCH("Rending",$L42)),FALSE))), (7-(AC$24-$I42))/6, AND(AC$24-$I42 &gt;=7,NOT(_xlfn.IFNA(ISNUMBER(SEARCH("Rending",$L42)),FALSE))), 0, AC$24-$I42 =7, (7-(AC$24-1-$I42))/6, AC$24-$I42 =8, (7-(AC$24-2-$I42))/6*2/3, AC$24-$I42 =9, (7-(AC$24-3-$I42))/6*1/3, TRUE, 0)) *
IF(ISNUMBER(SEARCH("Ordinance",$L42)),7/6,1) *
IF(OR(ISNUMBER(SEARCH("Melee",$L42)),ISNUMBER(SEARCH("Bypass",$L42))),1.5,1)</f>
        <v>0</v>
      </c>
      <c r="AD42" s="17" cm="1">
        <f t="array" ref="AD42">$H42 *
IF(ISNUMBER(SEARCH("Rapid",$L42)),7/6,1) *
IF(OR(ISNUMBER(SEARCH("Beam",$L42)),ISNUMBER(SEARCH("Firestorm",$L42))),1, IF(ISNUMBER(SEARCH("Blast",$L42)),(4+$F42+(2-$F42)*0.5)/6*2,(4+$F42)/6)) *
IF(ISNUMBER(SEARCH("Fusion",$L42)), _xlfn.IFS(AD$24-$I42 &lt;=1, 9/10, AD$24-$I42 &lt;=10,(11-(AD$24-$I42))/10, AD$24-$I42 &gt;=11, 0),
_xlfn.IFS(AD$24-$I42 &lt;=1, 5/6, AD$24-$I42 &lt;=5, (7-(AD$24-$I42))/6, AND(AD$24-$I42 =6,NOT(_xlfn.IFNA(ISNUMBER(SEARCH("Rending",$L42)),FALSE))), (7-(AD$24-$I42))/6, AND(AD$24-$I42 &gt;=7,NOT(_xlfn.IFNA(ISNUMBER(SEARCH("Rending",$L42)),FALSE))), 0, AD$24-$I42 =7, (7-(AD$24-1-$I42))/6, AD$24-$I42 =8, (7-(AD$24-2-$I42))/6*2/3, AD$24-$I42 =9, (7-(AD$24-3-$I42))/6*1/3, TRUE, 0)) *
IF(ISNUMBER(SEARCH("Ordinance",$L42)),7/6,1) *
IF(OR(ISNUMBER(SEARCH("Melee",$L42)),ISNUMBER(SEARCH("Bypass",$L42))),1.5,1)</f>
        <v>0</v>
      </c>
      <c r="AE42" s="17" cm="1">
        <f t="array" ref="AE42">$H42 *
IF(ISNUMBER(SEARCH("Rapid",$L42)),7/6,1) *
IF(OR(ISNUMBER(SEARCH("Beam",$L42)),ISNUMBER(SEARCH("Firestorm",$L42))),1, IF(ISNUMBER(SEARCH("Blast",$L42)),(4+$F42+(2-$F42)*0.5)/6*2,(4+$F42)/6)) *
IF(ISNUMBER(SEARCH("Fusion",$L42)), _xlfn.IFS(AE$24-$I42 &lt;=1, 9/10, AE$24-$I42 &lt;=10,(11-(AE$24-$I42))/10, AE$24-$I42 &gt;=11, 0),
_xlfn.IFS(AE$24-$I42 &lt;=1, 5/6, AE$24-$I42 &lt;=5, (7-(AE$24-$I42))/6, AND(AE$24-$I42 =6,NOT(_xlfn.IFNA(ISNUMBER(SEARCH("Rending",$L42)),FALSE))), (7-(AE$24-$I42))/6, AND(AE$24-$I42 &gt;=7,NOT(_xlfn.IFNA(ISNUMBER(SEARCH("Rending",$L42)),FALSE))), 0, AE$24-$I42 =7, (7-(AE$24-1-$I42))/6, AE$24-$I42 =8, (7-(AE$24-2-$I42))/6*2/3, AE$24-$I42 =9, (7-(AE$24-3-$I42))/6*1/3, TRUE, 0)) *
IF(ISNUMBER(SEARCH("Ordinance",$L42)),7/6,1) *
IF(OR(ISNUMBER(SEARCH("Melee",$L42)),ISNUMBER(SEARCH("Bypass",$L42))),1.5,1)</f>
        <v>0</v>
      </c>
      <c r="AF42" s="17" cm="1">
        <f t="array" ref="AF42">$H42 *
IF(ISNUMBER(SEARCH("Rapid",$L42)),7/6,1) *
IF(OR(ISNUMBER(SEARCH("Beam",$L42)),ISNUMBER(SEARCH("Firestorm",$L42))),1, IF(ISNUMBER(SEARCH("Blast",$L42)),(4+$F42+(2-$F42)*0.5)/6*2,(4+$F42)/6)) *
IF(ISNUMBER(SEARCH("Fusion",$L42)), _xlfn.IFS(AF$24-$I42 &lt;=1, 9/10, AF$24-$I42 &lt;=10,(11-(AF$24-$I42))/10, AF$24-$I42 &gt;=11, 0),
_xlfn.IFS(AF$24-$I42 &lt;=1, 5/6, AF$24-$I42 &lt;=5, (7-(AF$24-$I42))/6, AND(AF$24-$I42 =6,NOT(_xlfn.IFNA(ISNUMBER(SEARCH("Rending",$L42)),FALSE))), (7-(AF$24-$I42))/6, AND(AF$24-$I42 &gt;=7,NOT(_xlfn.IFNA(ISNUMBER(SEARCH("Rending",$L42)),FALSE))), 0, AF$24-$I42 =7, (7-(AF$24-1-$I42))/6, AF$24-$I42 =8, (7-(AF$24-2-$I42))/6*2/3, AF$24-$I42 =9, (7-(AF$24-3-$I42))/6*1/3, TRUE, 0)) *
IF(ISNUMBER(SEARCH("Ordinance",$L42)),7/6,1) *
IF(OR(ISNUMBER(SEARCH("Melee",$L42)),ISNUMBER(SEARCH("Bypass",$L42))),1.5,1)</f>
        <v>0</v>
      </c>
      <c r="AG42" s="16">
        <f t="shared" si="3"/>
        <v>1.2962962962962963</v>
      </c>
      <c r="AH42" s="16">
        <f t="shared" si="4"/>
        <v>1.9444444444444446</v>
      </c>
      <c r="AI42" s="17" cm="1">
        <f t="array" ref="AI42">$H42 *
IF(ISNUMBER(SEARCH("Rapid",$L42)),7/6,1) *
IF(OR(ISNUMBER(SEARCH("Beam",$L42)),ISNUMBER(SEARCH("Firestorm",$L42))),1, IF(ISNUMBER(SEARCH("Blast",$L42)),(4+$G42+(2-$G42)*0.5)/6*2,(4+$G42)/6)) *
_xlfn.IFS(AI$24-$I42 &lt;=1, 5/6, AI$24-$I42 &lt;=5, (7-(AI$24-$I42))/6, AND(AI$24-$I42 =6,NOT(_xlfn.IFNA(ISNUMBER(SEARCH("Rending",$L42)),FALSE))), (7-(AI$24-$I42))/6, AND(AI$24-$I42 &gt;=7,NOT(_xlfn.IFNA(ISNUMBER(SEARCH("Rending",$L42)),FALSE))), 0, AI$24-$I42 =7, (7-(AI$24-1-$I42))/6, AI$24-$I42 =8, (7-(AI$24-2-$I42))/6*2/3, AI$24-$I42 =9, (7-(AI$24-3-$I42))/6*1/3, TRUE, 0) *
IF(ISNUMBER(SEARCH("Ordinance",$L42)),7/6,1) *
IF(OR(ISNUMBER(SEARCH("Melee",$L42)),ISNUMBER(SEARCH("Bypass",$L42))),1.5,1)</f>
        <v>1.2962962962962963</v>
      </c>
      <c r="AJ42" s="17" cm="1">
        <f t="array" ref="AJ42">$H42 *
IF(ISNUMBER(SEARCH("Rapid",$L42)),7/6,1) *
IF(OR(ISNUMBER(SEARCH("Beam",$L42)),ISNUMBER(SEARCH("Firestorm",$L42))),1, IF(ISNUMBER(SEARCH("Blast",$L42)),(4+$G42+(2-$G42)*0.5)/6*2,(4+$G42)/6)) *
_xlfn.IFS(AJ$24-$I42 &lt;=1, 5/6, AJ$24-$I42 &lt;=5, (7-(AJ$24-$I42))/6, AND(AJ$24-$I42 =6,NOT(_xlfn.IFNA(ISNUMBER(SEARCH("Rending",$L42)),FALSE))), (7-(AJ$24-$I42))/6, AND(AJ$24-$I42 &gt;=7,NOT(_xlfn.IFNA(ISNUMBER(SEARCH("Rending",$L42)),FALSE))), 0, AJ$24-$I42 =7, (7-(AJ$24-1-$I42))/6, AJ$24-$I42 =8, (7-(AJ$24-2-$I42))/6*2/3, AJ$24-$I42 =9, (7-(AJ$24-3-$I42))/6*1/3, TRUE, 0) *
IF(ISNUMBER(SEARCH("Ordinance",$L42)),7/6,1) *
IF(OR(ISNUMBER(SEARCH("Melee",$L42)),ISNUMBER(SEARCH("Bypass",$L42))),1.5,1)</f>
        <v>0.64814814814814814</v>
      </c>
      <c r="AK42" s="17" cm="1">
        <f t="array" ref="AK42">$H42 *
IF(ISNUMBER(SEARCH("Rapid",$L42)),7/6,1) *
IF(OR(ISNUMBER(SEARCH("Beam",$L42)),ISNUMBER(SEARCH("Firestorm",$L42))),1, IF(ISNUMBER(SEARCH("Blast",$L42)),(4+$G42+(2-$G42)*0.5)/6*2,(4+$G42)/6)) *
_xlfn.IFS(AK$24-$I42 &lt;=1, 5/6, AK$24-$I42 &lt;=5, (7-(AK$24-$I42))/6, AND(AK$24-$I42 =6,NOT(_xlfn.IFNA(ISNUMBER(SEARCH("Rending",$L42)),FALSE))), (7-(AK$24-$I42))/6, AND(AK$24-$I42 &gt;=7,NOT(_xlfn.IFNA(ISNUMBER(SEARCH("Rending",$L42)),FALSE))), 0, AK$24-$I42 =7, (7-(AK$24-1-$I42))/6, AK$24-$I42 =8, (7-(AK$24-2-$I42))/6*2/3, AK$24-$I42 =9, (7-(AK$24-3-$I42))/6*1/3, TRUE, 0) *
IF(ISNUMBER(SEARCH("Ordinance",$L42)),7/6,1) *
IF(OR(ISNUMBER(SEARCH("Melee",$L42)),ISNUMBER(SEARCH("Bypass",$L42))),1.5,1)</f>
        <v>0</v>
      </c>
      <c r="AL42" s="17" cm="1">
        <f t="array" ref="AL42">$H42 *
IF(ISNUMBER(SEARCH("Rapid",$L42)),7/6,1) *
IF(OR(ISNUMBER(SEARCH("Beam",$L42)),ISNUMBER(SEARCH("Firestorm",$L42))),1, IF(ISNUMBER(SEARCH("Blast",$L42)),(4+$G42+(2-$G42)*0.5)/6*2,(4+$G42)/6)) *
_xlfn.IFS(AL$24-$I42 &lt;=1, 5/6, AL$24-$I42 &lt;=5, (7-(AL$24-$I42))/6, AND(AL$24-$I42 =6,NOT(_xlfn.IFNA(ISNUMBER(SEARCH("Rending",$L42)),FALSE))), (7-(AL$24-$I42))/6, AND(AL$24-$I42 &gt;=7,NOT(_xlfn.IFNA(ISNUMBER(SEARCH("Rending",$L42)),FALSE))), 0, AL$24-$I42 =7, (7-(AL$24-1-$I42))/6, AL$24-$I42 =8, (7-(AL$24-2-$I42))/6*2/3, AL$24-$I42 =9, (7-(AL$24-3-$I42))/6*1/3, TRUE, 0) *
IF(ISNUMBER(SEARCH("Ordinance",$L42)),7/6,1) *
IF(OR(ISNUMBER(SEARCH("Melee",$L42)),ISNUMBER(SEARCH("Bypass",$L42))),1.5,1)</f>
        <v>0</v>
      </c>
      <c r="AM42" s="17" cm="1">
        <f t="array" ref="AM42">$H42 *
IF(ISNUMBER(SEARCH("Rapid",$L42)),7/6,1) *
IF(OR(ISNUMBER(SEARCH("Beam",$L42)),ISNUMBER(SEARCH("Firestorm",$L42))),1, IF(ISNUMBER(SEARCH("Blast",$L42)),(4+$G42+(2-$G42)*0.5)/6*2,(4+$G42)/6)) *
_xlfn.IFS(AM$24-$I42 &lt;=1, 5/6, AM$24-$I42 &lt;=5, (7-(AM$24-$I42))/6, AND(AM$24-$I42 =6,NOT(_xlfn.IFNA(ISNUMBER(SEARCH("Rending",$L42)),FALSE))), (7-(AM$24-$I42))/6, AND(AM$24-$I42 &gt;=7,NOT(_xlfn.IFNA(ISNUMBER(SEARCH("Rending",$L42)),FALSE))), 0, AM$24-$I42 =7, (7-(AM$24-1-$I42))/6, AM$24-$I42 =8, (7-(AM$24-2-$I42))/6*2/3, AM$24-$I42 =9, (7-(AM$24-3-$I42))/6*1/3, TRUE, 0) *
IF(ISNUMBER(SEARCH("Ordinance",$L42)),7/6,1) *
IF(OR(ISNUMBER(SEARCH("Melee",$L42)),ISNUMBER(SEARCH("Bypass",$L42))),1.5,1)</f>
        <v>0</v>
      </c>
      <c r="AN42" s="17" cm="1">
        <f t="array" ref="AN42">$H42 *
IF(ISNUMBER(SEARCH("Rapid",$L42)),7/6,1) *
IF(OR(ISNUMBER(SEARCH("Beam",$L42)),ISNUMBER(SEARCH("Firestorm",$L42))),1, IF(ISNUMBER(SEARCH("Blast",$L42)),(4+$G42+(2-$G42)*0.5)/6*2,(4+$G42)/6)) *
_xlfn.IFS(AN$24-$I42 &lt;=1, 5/6, AN$24-$I42 &lt;=5, (7-(AN$24-$I42))/6, AND(AN$24-$I42 =6,NOT(_xlfn.IFNA(ISNUMBER(SEARCH("Rending",$L42)),FALSE))), (7-(AN$24-$I42))/6, AND(AN$24-$I42 &gt;=7,NOT(_xlfn.IFNA(ISNUMBER(SEARCH("Rending",$L42)),FALSE))), 0, AN$24-$I42 =7, (7-(AN$24-1-$I42))/6, AN$24-$I42 =8, (7-(AN$24-2-$I42))/6*2/3, AN$24-$I42 =9, (7-(AN$24-3-$I42))/6*1/3, TRUE, 0) *
IF(ISNUMBER(SEARCH("Ordinance",$L42)),7/6,1) *
IF(OR(ISNUMBER(SEARCH("Melee",$L42)),ISNUMBER(SEARCH("Bypass",$L42))),1.5,1)</f>
        <v>0</v>
      </c>
      <c r="AO42" s="17" cm="1">
        <f t="array" ref="AO42">$H42 *
IF(ISNUMBER(SEARCH("Rapid",$L42)),7/6,1) *
IF(OR(ISNUMBER(SEARCH("Beam",$L42)),ISNUMBER(SEARCH("Firestorm",$L42))),1, IF(ISNUMBER(SEARCH("Blast",$L42)),(4+$G42+(2-$G42)*0.5)/6*2,(4+$G42)/6)) *
_xlfn.IFS(AO$24-$I42 &lt;=1, 5/6, AO$24-$I42 &lt;=5, (7-(AO$24-$I42))/6, AND(AO$24-$I42 =6,NOT(_xlfn.IFNA(ISNUMBER(SEARCH("Rending",$L42)),FALSE))), (7-(AO$24-$I42))/6, AND(AO$24-$I42 &gt;=7,NOT(_xlfn.IFNA(ISNUMBER(SEARCH("Rending",$L42)),FALSE))), 0, AO$24-$I42 =7, (7-(AO$24-1-$I42))/6, AO$24-$I42 =8, (7-(AO$24-2-$I42))/6*2/3, AO$24-$I42 =9, (7-(AO$24-3-$I42))/6*1/3, TRUE, 0) *
IF(ISNUMBER(SEARCH("Ordinance",$L42)),7/6,1) *
IF(OR(ISNUMBER(SEARCH("Melee",$L42)),ISNUMBER(SEARCH("Bypass",$L42))),1.5,1)</f>
        <v>0</v>
      </c>
      <c r="AP42" s="17" cm="1">
        <f t="array" ref="AP42">$H42 *
IF(ISNUMBER(SEARCH("Rapid",$L42)),7/6,1) *
IF(OR(ISNUMBER(SEARCH("Beam",$L42)),ISNUMBER(SEARCH("Firestorm",$L42))),1, IF(ISNUMBER(SEARCH("Blast",$L42)),(4+$G42+(2-$G42)*0.5)/6*2,(4+$G42)/6)) *
_xlfn.IFS(AP$24-$I42 &lt;=1, 5/6, AP$24-$I42 &lt;=5, (7-(AP$24-$I42))/6, AND(AP$24-$I42 =6,NOT(_xlfn.IFNA(ISNUMBER(SEARCH("Rending",$L42)),FALSE))), (7-(AP$24-$I42))/6, AND(AP$24-$I42 &gt;=7,NOT(_xlfn.IFNA(ISNUMBER(SEARCH("Rending",$L42)),FALSE))), 0, AP$24-$I42 =7, (7-(AP$24-1-$I42))/6, AP$24-$I42 =8, (7-(AP$24-2-$I42))/6*2/3, AP$24-$I42 =9, (7-(AP$24-3-$I42))/6*1/3, TRUE, 0) *
IF(ISNUMBER(SEARCH("Ordinance",$L42)),7/6,1) *
IF(OR(ISNUMBER(SEARCH("Melee",$L42)),ISNUMBER(SEARCH("Bypass",$L42))),1.5,1)</f>
        <v>0</v>
      </c>
      <c r="AQ42" s="17" cm="1">
        <f t="array" ref="AQ42">$H42 *
IF(ISNUMBER(SEARCH("Rapid",$L42)),7/6,1) *
IF(OR(ISNUMBER(SEARCH("Beam",$L42)),ISNUMBER(SEARCH("Firestorm",$L42))),1, IF(ISNUMBER(SEARCH("Blast",$L42)),(4+$G42+(2-$G42)*0.5)/6*2,(4+$G42)/6)) *
_xlfn.IFS(AQ$24-$I42 &lt;=1, 5/6, AQ$24-$I42 &lt;=5, (7-(AQ$24-$I42))/6, AND(AQ$24-$I42 =6,NOT(_xlfn.IFNA(ISNUMBER(SEARCH("Rending",$L42)),FALSE))), (7-(AQ$24-$I42))/6, AND(AQ$24-$I42 &gt;=7,NOT(_xlfn.IFNA(ISNUMBER(SEARCH("Rending",$L42)),FALSE))), 0, AQ$24-$I42 =7, (7-(AQ$24-1-$I42))/6, AQ$24-$I42 =8, (7-(AQ$24-2-$I42))/6*2/3, AQ$24-$I42 =9, (7-(AQ$24-3-$I42))/6*1/3, TRUE, 0) *
IF(ISNUMBER(SEARCH("Ordinance",$L42)),7/6,1) *
IF(OR(ISNUMBER(SEARCH("Melee",$L42)),ISNUMBER(SEARCH("Bypass",$L42))),1.5,1)</f>
        <v>0</v>
      </c>
      <c r="AS42" s="16">
        <f t="shared" si="7"/>
        <v>0.4753086419753087</v>
      </c>
      <c r="AT42" s="16">
        <f t="shared" si="7"/>
        <v>0.71296296296296313</v>
      </c>
      <c r="AU42" s="16">
        <f>IF(D42+E42=3,
 IF(E42=3, 2.5*AI42,
  IF(E42=2, 1.8*AI42+0.7*X42,
   IF(E42=1, 0.95*AI42+1.55*X42,
    2.5*X42))),
 IF(D42+E42=2,
  IF(E42=2, 1.55*AI42,
   IF(E42 =1, 0.85*AI42+0.7*X42,
    1.55*X42)),
  IF(E42=1, 0.95*AI42,
   0.7*X42))
)/3</f>
        <v>1.0802469135802468</v>
      </c>
      <c r="AV42" s="2">
        <v>10</v>
      </c>
    </row>
    <row r="43" spans="1:48" x14ac:dyDescent="0.3">
      <c r="A43" t="s">
        <v>798</v>
      </c>
      <c r="B43" s="3">
        <v>12</v>
      </c>
      <c r="C43" s="3">
        <v>40</v>
      </c>
      <c r="E43" s="3">
        <v>3</v>
      </c>
      <c r="H43" s="3">
        <v>2</v>
      </c>
      <c r="I43" s="3">
        <v>6</v>
      </c>
      <c r="J43" s="3" t="s">
        <v>198</v>
      </c>
      <c r="K43" s="3">
        <v>20</v>
      </c>
      <c r="L43" s="3" t="s">
        <v>799</v>
      </c>
      <c r="M43" s="3" t="s">
        <v>199</v>
      </c>
      <c r="N43" s="3">
        <v>9</v>
      </c>
      <c r="O43" s="3">
        <v>9</v>
      </c>
      <c r="P43" s="3">
        <v>13</v>
      </c>
      <c r="Q43" s="3" t="s">
        <v>200</v>
      </c>
      <c r="R43" s="3">
        <v>7</v>
      </c>
      <c r="S43" s="3">
        <v>9</v>
      </c>
      <c r="T43" s="3">
        <v>4</v>
      </c>
      <c r="V43" s="16">
        <f t="shared" si="1"/>
        <v>0.44444444444444442</v>
      </c>
      <c r="W43" s="16">
        <f t="shared" si="2"/>
        <v>0.66666666666666663</v>
      </c>
      <c r="X43" s="17" cm="1">
        <f t="array" ref="X43">$H43 *
IF(ISNUMBER(SEARCH("Rapid",$L43)),7/6,1) *
IF(OR(ISNUMBER(SEARCH("Beam",$L43)),ISNUMBER(SEARCH("Firestorm",$L43))),1, IF(ISNUMBER(SEARCH("Blast",$L43)),(4+$F43+(2-$F43)*0.5)/6*2,(4+$F43)/6)) *
IF(ISNUMBER(SEARCH("Fusion",$L43)), _xlfn.IFS(X$24-$I43 &lt;=1, 9/10, X$24-$I43 &lt;=10,(11-(X$24-$I43))/10, X$24-$I43 &gt;=11, 0),
_xlfn.IFS(X$24-$I43 &lt;=1, 5/6, X$24-$I43 &lt;=5, (7-(X$24-$I43))/6, AND(X$24-$I43 =6,NOT(_xlfn.IFNA(ISNUMBER(SEARCH("Rending",$L43)),FALSE))), (7-(X$24-$I43))/6, AND(X$24-$I43 &gt;=7,NOT(_xlfn.IFNA(ISNUMBER(SEARCH("Rending",$L43)),FALSE))), 0, X$24-$I43 =7, (7-(X$24-1-$I43))/6, X$24-$I43 =8, (7-(X$24-2-$I43))/6*2/3, X$24-$I43 =9, (7-(X$24-3-$I43))/6*1/3, TRUE, 0)) *
IF(ISNUMBER(SEARCH("Ordinance",$L43)),7/6,1) *
IF(OR(ISNUMBER(SEARCH("Melee",$L43)),ISNUMBER(SEARCH("Bypass",$L43))),1.5,1)</f>
        <v>0.88888888888888884</v>
      </c>
      <c r="Y43" s="17" cm="1">
        <f t="array" ref="Y43">$H43 *
IF(ISNUMBER(SEARCH("Rapid",$L43)),7/6,1) *
IF(OR(ISNUMBER(SEARCH("Beam",$L43)),ISNUMBER(SEARCH("Firestorm",$L43))),1, IF(ISNUMBER(SEARCH("Blast",$L43)),(4+$F43+(2-$F43)*0.5)/6*2,(4+$F43)/6)) *
IF(ISNUMBER(SEARCH("Fusion",$L43)), _xlfn.IFS(Y$24-$I43 &lt;=1, 9/10, Y$24-$I43 &lt;=10,(11-(Y$24-$I43))/10, Y$24-$I43 &gt;=11, 0),
_xlfn.IFS(Y$24-$I43 &lt;=1, 5/6, Y$24-$I43 &lt;=5, (7-(Y$24-$I43))/6, AND(Y$24-$I43 =6,NOT(_xlfn.IFNA(ISNUMBER(SEARCH("Rending",$L43)),FALSE))), (7-(Y$24-$I43))/6, AND(Y$24-$I43 &gt;=7,NOT(_xlfn.IFNA(ISNUMBER(SEARCH("Rending",$L43)),FALSE))), 0, Y$24-$I43 =7, (7-(Y$24-1-$I43))/6, Y$24-$I43 =8, (7-(Y$24-2-$I43))/6*2/3, Y$24-$I43 =9, (7-(Y$24-3-$I43))/6*1/3, TRUE, 0)) *
IF(ISNUMBER(SEARCH("Ordinance",$L43)),7/6,1) *
IF(OR(ISNUMBER(SEARCH("Melee",$L43)),ISNUMBER(SEARCH("Bypass",$L43))),1.5,1)</f>
        <v>0.66666666666666663</v>
      </c>
      <c r="Z43" s="17" cm="1">
        <f t="array" ref="Z43">$H43 *
IF(ISNUMBER(SEARCH("Rapid",$L43)),7/6,1) *
IF(OR(ISNUMBER(SEARCH("Beam",$L43)),ISNUMBER(SEARCH("Firestorm",$L43))),1, IF(ISNUMBER(SEARCH("Blast",$L43)),(4+$F43+(2-$F43)*0.5)/6*2,(4+$F43)/6)) *
IF(ISNUMBER(SEARCH("Fusion",$L43)), _xlfn.IFS(Z$24-$I43 &lt;=1, 9/10, Z$24-$I43 &lt;=10,(11-(Z$24-$I43))/10, Z$24-$I43 &gt;=11, 0),
_xlfn.IFS(Z$24-$I43 &lt;=1, 5/6, Z$24-$I43 &lt;=5, (7-(Z$24-$I43))/6, AND(Z$24-$I43 =6,NOT(_xlfn.IFNA(ISNUMBER(SEARCH("Rending",$L43)),FALSE))), (7-(Z$24-$I43))/6, AND(Z$24-$I43 &gt;=7,NOT(_xlfn.IFNA(ISNUMBER(SEARCH("Rending",$L43)),FALSE))), 0, Z$24-$I43 =7, (7-(Z$24-1-$I43))/6, Z$24-$I43 =8, (7-(Z$24-2-$I43))/6*2/3, Z$24-$I43 =9, (7-(Z$24-3-$I43))/6*1/3, TRUE, 0)) *
IF(ISNUMBER(SEARCH("Ordinance",$L43)),7/6,1) *
IF(OR(ISNUMBER(SEARCH("Melee",$L43)),ISNUMBER(SEARCH("Bypass",$L43))),1.5,1)</f>
        <v>0.44444444444444442</v>
      </c>
      <c r="AA43" s="17" cm="1">
        <f t="array" ref="AA43">$H43 *
IF(ISNUMBER(SEARCH("Rapid",$L43)),7/6,1) *
IF(OR(ISNUMBER(SEARCH("Beam",$L43)),ISNUMBER(SEARCH("Firestorm",$L43))),1, IF(ISNUMBER(SEARCH("Blast",$L43)),(4+$F43+(2-$F43)*0.5)/6*2,(4+$F43)/6)) *
IF(ISNUMBER(SEARCH("Fusion",$L43)), _xlfn.IFS(AA$24-$I43 &lt;=1, 9/10, AA$24-$I43 &lt;=10,(11-(AA$24-$I43))/10, AA$24-$I43 &gt;=11, 0),
_xlfn.IFS(AA$24-$I43 &lt;=1, 5/6, AA$24-$I43 &lt;=5, (7-(AA$24-$I43))/6, AND(AA$24-$I43 =6,NOT(_xlfn.IFNA(ISNUMBER(SEARCH("Rending",$L43)),FALSE))), (7-(AA$24-$I43))/6, AND(AA$24-$I43 &gt;=7,NOT(_xlfn.IFNA(ISNUMBER(SEARCH("Rending",$L43)),FALSE))), 0, AA$24-$I43 =7, (7-(AA$24-1-$I43))/6, AA$24-$I43 =8, (7-(AA$24-2-$I43))/6*2/3, AA$24-$I43 =9, (7-(AA$24-3-$I43))/6*1/3, TRUE, 0)) *
IF(ISNUMBER(SEARCH("Ordinance",$L43)),7/6,1) *
IF(OR(ISNUMBER(SEARCH("Melee",$L43)),ISNUMBER(SEARCH("Bypass",$L43))),1.5,1)</f>
        <v>0.22222222222222221</v>
      </c>
      <c r="AB43" s="17" cm="1">
        <f t="array" ref="AB43">$H43 *
IF(ISNUMBER(SEARCH("Rapid",$L43)),7/6,1) *
IF(OR(ISNUMBER(SEARCH("Beam",$L43)),ISNUMBER(SEARCH("Firestorm",$L43))),1, IF(ISNUMBER(SEARCH("Blast",$L43)),(4+$F43+(2-$F43)*0.5)/6*2,(4+$F43)/6)) *
IF(ISNUMBER(SEARCH("Fusion",$L43)), _xlfn.IFS(AB$24-$I43 &lt;=1, 9/10, AB$24-$I43 &lt;=10,(11-(AB$24-$I43))/10, AB$24-$I43 &gt;=11, 0),
_xlfn.IFS(AB$24-$I43 &lt;=1, 5/6, AB$24-$I43 &lt;=5, (7-(AB$24-$I43))/6, AND(AB$24-$I43 =6,NOT(_xlfn.IFNA(ISNUMBER(SEARCH("Rending",$L43)),FALSE))), (7-(AB$24-$I43))/6, AND(AB$24-$I43 &gt;=7,NOT(_xlfn.IFNA(ISNUMBER(SEARCH("Rending",$L43)),FALSE))), 0, AB$24-$I43 =7, (7-(AB$24-1-$I43))/6, AB$24-$I43 =8, (7-(AB$24-2-$I43))/6*2/3, AB$24-$I43 =9, (7-(AB$24-3-$I43))/6*1/3, TRUE, 0)) *
IF(ISNUMBER(SEARCH("Ordinance",$L43)),7/6,1) *
IF(OR(ISNUMBER(SEARCH("Melee",$L43)),ISNUMBER(SEARCH("Bypass",$L43))),1.5,1)</f>
        <v>0</v>
      </c>
      <c r="AC43" s="17" cm="1">
        <f t="array" ref="AC43">$H43 *
IF(ISNUMBER(SEARCH("Rapid",$L43)),7/6,1) *
IF(OR(ISNUMBER(SEARCH("Beam",$L43)),ISNUMBER(SEARCH("Firestorm",$L43))),1, IF(ISNUMBER(SEARCH("Blast",$L43)),(4+$F43+(2-$F43)*0.5)/6*2,(4+$F43)/6)) *
IF(ISNUMBER(SEARCH("Fusion",$L43)), _xlfn.IFS(AC$24-$I43 &lt;=1, 9/10, AC$24-$I43 &lt;=10,(11-(AC$24-$I43))/10, AC$24-$I43 &gt;=11, 0),
_xlfn.IFS(AC$24-$I43 &lt;=1, 5/6, AC$24-$I43 &lt;=5, (7-(AC$24-$I43))/6, AND(AC$24-$I43 =6,NOT(_xlfn.IFNA(ISNUMBER(SEARCH("Rending",$L43)),FALSE))), (7-(AC$24-$I43))/6, AND(AC$24-$I43 &gt;=7,NOT(_xlfn.IFNA(ISNUMBER(SEARCH("Rending",$L43)),FALSE))), 0, AC$24-$I43 =7, (7-(AC$24-1-$I43))/6, AC$24-$I43 =8, (7-(AC$24-2-$I43))/6*2/3, AC$24-$I43 =9, (7-(AC$24-3-$I43))/6*1/3, TRUE, 0)) *
IF(ISNUMBER(SEARCH("Ordinance",$L43)),7/6,1) *
IF(OR(ISNUMBER(SEARCH("Melee",$L43)),ISNUMBER(SEARCH("Bypass",$L43))),1.5,1)</f>
        <v>0</v>
      </c>
      <c r="AD43" s="17" cm="1">
        <f t="array" ref="AD43">$H43 *
IF(ISNUMBER(SEARCH("Rapid",$L43)),7/6,1) *
IF(OR(ISNUMBER(SEARCH("Beam",$L43)),ISNUMBER(SEARCH("Firestorm",$L43))),1, IF(ISNUMBER(SEARCH("Blast",$L43)),(4+$F43+(2-$F43)*0.5)/6*2,(4+$F43)/6)) *
IF(ISNUMBER(SEARCH("Fusion",$L43)), _xlfn.IFS(AD$24-$I43 &lt;=1, 9/10, AD$24-$I43 &lt;=10,(11-(AD$24-$I43))/10, AD$24-$I43 &gt;=11, 0),
_xlfn.IFS(AD$24-$I43 &lt;=1, 5/6, AD$24-$I43 &lt;=5, (7-(AD$24-$I43))/6, AND(AD$24-$I43 =6,NOT(_xlfn.IFNA(ISNUMBER(SEARCH("Rending",$L43)),FALSE))), (7-(AD$24-$I43))/6, AND(AD$24-$I43 &gt;=7,NOT(_xlfn.IFNA(ISNUMBER(SEARCH("Rending",$L43)),FALSE))), 0, AD$24-$I43 =7, (7-(AD$24-1-$I43))/6, AD$24-$I43 =8, (7-(AD$24-2-$I43))/6*2/3, AD$24-$I43 =9, (7-(AD$24-3-$I43))/6*1/3, TRUE, 0)) *
IF(ISNUMBER(SEARCH("Ordinance",$L43)),7/6,1) *
IF(OR(ISNUMBER(SEARCH("Melee",$L43)),ISNUMBER(SEARCH("Bypass",$L43))),1.5,1)</f>
        <v>0</v>
      </c>
      <c r="AE43" s="17" cm="1">
        <f t="array" ref="AE43">$H43 *
IF(ISNUMBER(SEARCH("Rapid",$L43)),7/6,1) *
IF(OR(ISNUMBER(SEARCH("Beam",$L43)),ISNUMBER(SEARCH("Firestorm",$L43))),1, IF(ISNUMBER(SEARCH("Blast",$L43)),(4+$F43+(2-$F43)*0.5)/6*2,(4+$F43)/6)) *
IF(ISNUMBER(SEARCH("Fusion",$L43)), _xlfn.IFS(AE$24-$I43 &lt;=1, 9/10, AE$24-$I43 &lt;=10,(11-(AE$24-$I43))/10, AE$24-$I43 &gt;=11, 0),
_xlfn.IFS(AE$24-$I43 &lt;=1, 5/6, AE$24-$I43 &lt;=5, (7-(AE$24-$I43))/6, AND(AE$24-$I43 =6,NOT(_xlfn.IFNA(ISNUMBER(SEARCH("Rending",$L43)),FALSE))), (7-(AE$24-$I43))/6, AND(AE$24-$I43 &gt;=7,NOT(_xlfn.IFNA(ISNUMBER(SEARCH("Rending",$L43)),FALSE))), 0, AE$24-$I43 =7, (7-(AE$24-1-$I43))/6, AE$24-$I43 =8, (7-(AE$24-2-$I43))/6*2/3, AE$24-$I43 =9, (7-(AE$24-3-$I43))/6*1/3, TRUE, 0)) *
IF(ISNUMBER(SEARCH("Ordinance",$L43)),7/6,1) *
IF(OR(ISNUMBER(SEARCH("Melee",$L43)),ISNUMBER(SEARCH("Bypass",$L43))),1.5,1)</f>
        <v>0</v>
      </c>
      <c r="AF43" s="17" cm="1">
        <f t="array" ref="AF43">$H43 *
IF(ISNUMBER(SEARCH("Rapid",$L43)),7/6,1) *
IF(OR(ISNUMBER(SEARCH("Beam",$L43)),ISNUMBER(SEARCH("Firestorm",$L43))),1, IF(ISNUMBER(SEARCH("Blast",$L43)),(4+$F43+(2-$F43)*0.5)/6*2,(4+$F43)/6)) *
IF(ISNUMBER(SEARCH("Fusion",$L43)), _xlfn.IFS(AF$24-$I43 &lt;=1, 9/10, AF$24-$I43 &lt;=10,(11-(AF$24-$I43))/10, AF$24-$I43 &gt;=11, 0),
_xlfn.IFS(AF$24-$I43 &lt;=1, 5/6, AF$24-$I43 &lt;=5, (7-(AF$24-$I43))/6, AND(AF$24-$I43 =6,NOT(_xlfn.IFNA(ISNUMBER(SEARCH("Rending",$L43)),FALSE))), (7-(AF$24-$I43))/6, AND(AF$24-$I43 &gt;=7,NOT(_xlfn.IFNA(ISNUMBER(SEARCH("Rending",$L43)),FALSE))), 0, AF$24-$I43 =7, (7-(AF$24-1-$I43))/6, AF$24-$I43 =8, (7-(AF$24-2-$I43))/6*2/3, AF$24-$I43 =9, (7-(AF$24-3-$I43))/6*1/3, TRUE, 0)) *
IF(ISNUMBER(SEARCH("Ordinance",$L43)),7/6,1) *
IF(OR(ISNUMBER(SEARCH("Melee",$L43)),ISNUMBER(SEARCH("Bypass",$L43))),1.5,1)</f>
        <v>0</v>
      </c>
      <c r="AG43" s="16">
        <f t="shared" si="3"/>
        <v>0.44444444444444442</v>
      </c>
      <c r="AH43" s="16">
        <f t="shared" si="4"/>
        <v>0.66666666666666663</v>
      </c>
      <c r="AI43" s="17" cm="1">
        <f t="array" ref="AI43">$H43 *
IF(ISNUMBER(SEARCH("Rapid",$L43)),7/6,1) *
IF(OR(ISNUMBER(SEARCH("Beam",$L43)),ISNUMBER(SEARCH("Firestorm",$L43))),1, IF(ISNUMBER(SEARCH("Blast",$L43)),(4+$G43+(2-$G43)*0.5)/6*2,(4+$G43)/6)) *
_xlfn.IFS(AI$24-$I43 &lt;=1, 5/6, AI$24-$I43 &lt;=5, (7-(AI$24-$I43))/6, AND(AI$24-$I43 =6,NOT(_xlfn.IFNA(ISNUMBER(SEARCH("Rending",$L43)),FALSE))), (7-(AI$24-$I43))/6, AND(AI$24-$I43 &gt;=7,NOT(_xlfn.IFNA(ISNUMBER(SEARCH("Rending",$L43)),FALSE))), 0, AI$24-$I43 =7, (7-(AI$24-1-$I43))/6, AI$24-$I43 =8, (7-(AI$24-2-$I43))/6*2/3, AI$24-$I43 =9, (7-(AI$24-3-$I43))/6*1/3, TRUE, 0) *
IF(ISNUMBER(SEARCH("Ordinance",$L43)),7/6,1) *
IF(OR(ISNUMBER(SEARCH("Melee",$L43)),ISNUMBER(SEARCH("Bypass",$L43))),1.5,1)</f>
        <v>0.88888888888888884</v>
      </c>
      <c r="AJ43" s="17" cm="1">
        <f t="array" ref="AJ43">$H43 *
IF(ISNUMBER(SEARCH("Rapid",$L43)),7/6,1) *
IF(OR(ISNUMBER(SEARCH("Beam",$L43)),ISNUMBER(SEARCH("Firestorm",$L43))),1, IF(ISNUMBER(SEARCH("Blast",$L43)),(4+$G43+(2-$G43)*0.5)/6*2,(4+$G43)/6)) *
_xlfn.IFS(AJ$24-$I43 &lt;=1, 5/6, AJ$24-$I43 &lt;=5, (7-(AJ$24-$I43))/6, AND(AJ$24-$I43 =6,NOT(_xlfn.IFNA(ISNUMBER(SEARCH("Rending",$L43)),FALSE))), (7-(AJ$24-$I43))/6, AND(AJ$24-$I43 &gt;=7,NOT(_xlfn.IFNA(ISNUMBER(SEARCH("Rending",$L43)),FALSE))), 0, AJ$24-$I43 =7, (7-(AJ$24-1-$I43))/6, AJ$24-$I43 =8, (7-(AJ$24-2-$I43))/6*2/3, AJ$24-$I43 =9, (7-(AJ$24-3-$I43))/6*1/3, TRUE, 0) *
IF(ISNUMBER(SEARCH("Ordinance",$L43)),7/6,1) *
IF(OR(ISNUMBER(SEARCH("Melee",$L43)),ISNUMBER(SEARCH("Bypass",$L43))),1.5,1)</f>
        <v>0.66666666666666663</v>
      </c>
      <c r="AK43" s="17" cm="1">
        <f t="array" ref="AK43">$H43 *
IF(ISNUMBER(SEARCH("Rapid",$L43)),7/6,1) *
IF(OR(ISNUMBER(SEARCH("Beam",$L43)),ISNUMBER(SEARCH("Firestorm",$L43))),1, IF(ISNUMBER(SEARCH("Blast",$L43)),(4+$G43+(2-$G43)*0.5)/6*2,(4+$G43)/6)) *
_xlfn.IFS(AK$24-$I43 &lt;=1, 5/6, AK$24-$I43 &lt;=5, (7-(AK$24-$I43))/6, AND(AK$24-$I43 =6,NOT(_xlfn.IFNA(ISNUMBER(SEARCH("Rending",$L43)),FALSE))), (7-(AK$24-$I43))/6, AND(AK$24-$I43 &gt;=7,NOT(_xlfn.IFNA(ISNUMBER(SEARCH("Rending",$L43)),FALSE))), 0, AK$24-$I43 =7, (7-(AK$24-1-$I43))/6, AK$24-$I43 =8, (7-(AK$24-2-$I43))/6*2/3, AK$24-$I43 =9, (7-(AK$24-3-$I43))/6*1/3, TRUE, 0) *
IF(ISNUMBER(SEARCH("Ordinance",$L43)),7/6,1) *
IF(OR(ISNUMBER(SEARCH("Melee",$L43)),ISNUMBER(SEARCH("Bypass",$L43))),1.5,1)</f>
        <v>0.44444444444444442</v>
      </c>
      <c r="AL43" s="17" cm="1">
        <f t="array" ref="AL43">$H43 *
IF(ISNUMBER(SEARCH("Rapid",$L43)),7/6,1) *
IF(OR(ISNUMBER(SEARCH("Beam",$L43)),ISNUMBER(SEARCH("Firestorm",$L43))),1, IF(ISNUMBER(SEARCH("Blast",$L43)),(4+$G43+(2-$G43)*0.5)/6*2,(4+$G43)/6)) *
_xlfn.IFS(AL$24-$I43 &lt;=1, 5/6, AL$24-$I43 &lt;=5, (7-(AL$24-$I43))/6, AND(AL$24-$I43 =6,NOT(_xlfn.IFNA(ISNUMBER(SEARCH("Rending",$L43)),FALSE))), (7-(AL$24-$I43))/6, AND(AL$24-$I43 &gt;=7,NOT(_xlfn.IFNA(ISNUMBER(SEARCH("Rending",$L43)),FALSE))), 0, AL$24-$I43 =7, (7-(AL$24-1-$I43))/6, AL$24-$I43 =8, (7-(AL$24-2-$I43))/6*2/3, AL$24-$I43 =9, (7-(AL$24-3-$I43))/6*1/3, TRUE, 0) *
IF(ISNUMBER(SEARCH("Ordinance",$L43)),7/6,1) *
IF(OR(ISNUMBER(SEARCH("Melee",$L43)),ISNUMBER(SEARCH("Bypass",$L43))),1.5,1)</f>
        <v>0.22222222222222221</v>
      </c>
      <c r="AM43" s="17" cm="1">
        <f t="array" ref="AM43">$H43 *
IF(ISNUMBER(SEARCH("Rapid",$L43)),7/6,1) *
IF(OR(ISNUMBER(SEARCH("Beam",$L43)),ISNUMBER(SEARCH("Firestorm",$L43))),1, IF(ISNUMBER(SEARCH("Blast",$L43)),(4+$G43+(2-$G43)*0.5)/6*2,(4+$G43)/6)) *
_xlfn.IFS(AM$24-$I43 &lt;=1, 5/6, AM$24-$I43 &lt;=5, (7-(AM$24-$I43))/6, AND(AM$24-$I43 =6,NOT(_xlfn.IFNA(ISNUMBER(SEARCH("Rending",$L43)),FALSE))), (7-(AM$24-$I43))/6, AND(AM$24-$I43 &gt;=7,NOT(_xlfn.IFNA(ISNUMBER(SEARCH("Rending",$L43)),FALSE))), 0, AM$24-$I43 =7, (7-(AM$24-1-$I43))/6, AM$24-$I43 =8, (7-(AM$24-2-$I43))/6*2/3, AM$24-$I43 =9, (7-(AM$24-3-$I43))/6*1/3, TRUE, 0) *
IF(ISNUMBER(SEARCH("Ordinance",$L43)),7/6,1) *
IF(OR(ISNUMBER(SEARCH("Melee",$L43)),ISNUMBER(SEARCH("Bypass",$L43))),1.5,1)</f>
        <v>0</v>
      </c>
      <c r="AN43" s="17" cm="1">
        <f t="array" ref="AN43">$H43 *
IF(ISNUMBER(SEARCH("Rapid",$L43)),7/6,1) *
IF(OR(ISNUMBER(SEARCH("Beam",$L43)),ISNUMBER(SEARCH("Firestorm",$L43))),1, IF(ISNUMBER(SEARCH("Blast",$L43)),(4+$G43+(2-$G43)*0.5)/6*2,(4+$G43)/6)) *
_xlfn.IFS(AN$24-$I43 &lt;=1, 5/6, AN$24-$I43 &lt;=5, (7-(AN$24-$I43))/6, AND(AN$24-$I43 =6,NOT(_xlfn.IFNA(ISNUMBER(SEARCH("Rending",$L43)),FALSE))), (7-(AN$24-$I43))/6, AND(AN$24-$I43 &gt;=7,NOT(_xlfn.IFNA(ISNUMBER(SEARCH("Rending",$L43)),FALSE))), 0, AN$24-$I43 =7, (7-(AN$24-1-$I43))/6, AN$24-$I43 =8, (7-(AN$24-2-$I43))/6*2/3, AN$24-$I43 =9, (7-(AN$24-3-$I43))/6*1/3, TRUE, 0) *
IF(ISNUMBER(SEARCH("Ordinance",$L43)),7/6,1) *
IF(OR(ISNUMBER(SEARCH("Melee",$L43)),ISNUMBER(SEARCH("Bypass",$L43))),1.5,1)</f>
        <v>0</v>
      </c>
      <c r="AO43" s="17" cm="1">
        <f t="array" ref="AO43">$H43 *
IF(ISNUMBER(SEARCH("Rapid",$L43)),7/6,1) *
IF(OR(ISNUMBER(SEARCH("Beam",$L43)),ISNUMBER(SEARCH("Firestorm",$L43))),1, IF(ISNUMBER(SEARCH("Blast",$L43)),(4+$G43+(2-$G43)*0.5)/6*2,(4+$G43)/6)) *
_xlfn.IFS(AO$24-$I43 &lt;=1, 5/6, AO$24-$I43 &lt;=5, (7-(AO$24-$I43))/6, AND(AO$24-$I43 =6,NOT(_xlfn.IFNA(ISNUMBER(SEARCH("Rending",$L43)),FALSE))), (7-(AO$24-$I43))/6, AND(AO$24-$I43 &gt;=7,NOT(_xlfn.IFNA(ISNUMBER(SEARCH("Rending",$L43)),FALSE))), 0, AO$24-$I43 =7, (7-(AO$24-1-$I43))/6, AO$24-$I43 =8, (7-(AO$24-2-$I43))/6*2/3, AO$24-$I43 =9, (7-(AO$24-3-$I43))/6*1/3, TRUE, 0) *
IF(ISNUMBER(SEARCH("Ordinance",$L43)),7/6,1) *
IF(OR(ISNUMBER(SEARCH("Melee",$L43)),ISNUMBER(SEARCH("Bypass",$L43))),1.5,1)</f>
        <v>0</v>
      </c>
      <c r="AP43" s="17" cm="1">
        <f t="array" ref="AP43">$H43 *
IF(ISNUMBER(SEARCH("Rapid",$L43)),7/6,1) *
IF(OR(ISNUMBER(SEARCH("Beam",$L43)),ISNUMBER(SEARCH("Firestorm",$L43))),1, IF(ISNUMBER(SEARCH("Blast",$L43)),(4+$G43+(2-$G43)*0.5)/6*2,(4+$G43)/6)) *
_xlfn.IFS(AP$24-$I43 &lt;=1, 5/6, AP$24-$I43 &lt;=5, (7-(AP$24-$I43))/6, AND(AP$24-$I43 =6,NOT(_xlfn.IFNA(ISNUMBER(SEARCH("Rending",$L43)),FALSE))), (7-(AP$24-$I43))/6, AND(AP$24-$I43 &gt;=7,NOT(_xlfn.IFNA(ISNUMBER(SEARCH("Rending",$L43)),FALSE))), 0, AP$24-$I43 =7, (7-(AP$24-1-$I43))/6, AP$24-$I43 =8, (7-(AP$24-2-$I43))/6*2/3, AP$24-$I43 =9, (7-(AP$24-3-$I43))/6*1/3, TRUE, 0) *
IF(ISNUMBER(SEARCH("Ordinance",$L43)),7/6,1) *
IF(OR(ISNUMBER(SEARCH("Melee",$L43)),ISNUMBER(SEARCH("Bypass",$L43))),1.5,1)</f>
        <v>0</v>
      </c>
      <c r="AQ43" s="17" cm="1">
        <f t="array" ref="AQ43">$H43 *
IF(ISNUMBER(SEARCH("Rapid",$L43)),7/6,1) *
IF(OR(ISNUMBER(SEARCH("Beam",$L43)),ISNUMBER(SEARCH("Firestorm",$L43))),1, IF(ISNUMBER(SEARCH("Blast",$L43)),(4+$G43+(2-$G43)*0.5)/6*2,(4+$G43)/6)) *
_xlfn.IFS(AQ$24-$I43 &lt;=1, 5/6, AQ$24-$I43 &lt;=5, (7-(AQ$24-$I43))/6, AND(AQ$24-$I43 =6,NOT(_xlfn.IFNA(ISNUMBER(SEARCH("Rending",$L43)),FALSE))), (7-(AQ$24-$I43))/6, AND(AQ$24-$I43 &gt;=7,NOT(_xlfn.IFNA(ISNUMBER(SEARCH("Rending",$L43)),FALSE))), 0, AQ$24-$I43 =7, (7-(AQ$24-1-$I43))/6, AQ$24-$I43 =8, (7-(AQ$24-2-$I43))/6*2/3, AQ$24-$I43 =9, (7-(AQ$24-3-$I43))/6*1/3, TRUE, 0) *
IF(ISNUMBER(SEARCH("Ordinance",$L43)),7/6,1) *
IF(OR(ISNUMBER(SEARCH("Melee",$L43)),ISNUMBER(SEARCH("Bypass",$L43))),1.5,1)</f>
        <v>0</v>
      </c>
      <c r="AS43" s="16">
        <f t="shared" si="7"/>
        <v>0.16296296296296298</v>
      </c>
      <c r="AT43" s="16">
        <f t="shared" si="7"/>
        <v>0.24444444444444446</v>
      </c>
      <c r="AU43" s="16">
        <f>IF(D43+E43=3,
 IF(E43=3, 2.5*AI43,
  IF(E43=2, 1.8*AI43+0.7*X43,
   IF(E43=1, 0.95*AI43+1.55*X43,
    2.5*X43))),
 IF(D43+E43=2,
  IF(E43=2, 1.55*AI43,
   IF(E43 =1, 0.85*AI43+0.7*X43,
    1.55*X43)),
  IF(E43=1, 0.95*AI43,
   0.7*X43))
)/3</f>
        <v>0.74074074074074081</v>
      </c>
      <c r="AV43" s="2">
        <v>10</v>
      </c>
    </row>
    <row r="44" spans="1:48" x14ac:dyDescent="0.3">
      <c r="V44" s="16">
        <f t="shared" si="1"/>
        <v>0</v>
      </c>
      <c r="W44" s="16">
        <f t="shared" si="2"/>
        <v>0</v>
      </c>
      <c r="X44" s="17" cm="1">
        <f t="array" ref="X44">$H44 *
IF(ISNUMBER(SEARCH("Rapid",$L44)),7/6,1) *
IF(OR(ISNUMBER(SEARCH("Beam",$L44)),ISNUMBER(SEARCH("Firestorm",$L44))),1, IF(ISNUMBER(SEARCH("Blast",$L44)),(4+$F44+(2-$F44)*0.5)/6*2,(4+$F44)/6)) *
IF(ISNUMBER(SEARCH("Fusion",$L44)), _xlfn.IFS(X$24-$I44 &lt;=1, 9/10, X$24-$I44 &lt;=10,(11-(X$24-$I44))/10, X$24-$I44 &gt;=11, 0),
_xlfn.IFS(X$24-$I44 &lt;=1, 5/6, X$24-$I44 &lt;=5, (7-(X$24-$I44))/6, AND(X$24-$I44 =6,NOT(_xlfn.IFNA(ISNUMBER(SEARCH("Rending",$L44)),FALSE))), (7-(X$24-$I44))/6, AND(X$24-$I44 &gt;=7,NOT(_xlfn.IFNA(ISNUMBER(SEARCH("Rending",$L44)),FALSE))), 0, X$24-$I44 =7, (7-(X$24-1-$I44))/6, X$24-$I44 =8, (7-(X$24-2-$I44))/6*2/3, X$24-$I44 =9, (7-(X$24-3-$I44))/6*1/3, TRUE, 0)) *
IF(ISNUMBER(SEARCH("Ordinance",$L44)),7/6,1) *
IF(OR(ISNUMBER(SEARCH("Melee",$L44)),ISNUMBER(SEARCH("Bypass",$L44))),1.5,1)</f>
        <v>0</v>
      </c>
      <c r="Y44" s="17" cm="1">
        <f t="array" ref="Y44">$H44 *
IF(ISNUMBER(SEARCH("Rapid",$L44)),7/6,1) *
IF(OR(ISNUMBER(SEARCH("Beam",$L44)),ISNUMBER(SEARCH("Firestorm",$L44))),1, IF(ISNUMBER(SEARCH("Blast",$L44)),(4+$F44+(2-$F44)*0.5)/6*2,(4+$F44)/6)) *
IF(ISNUMBER(SEARCH("Fusion",$L44)), _xlfn.IFS(Y$24-$I44 &lt;=1, 9/10, Y$24-$I44 &lt;=10,(11-(Y$24-$I44))/10, Y$24-$I44 &gt;=11, 0),
_xlfn.IFS(Y$24-$I44 &lt;=1, 5/6, Y$24-$I44 &lt;=5, (7-(Y$24-$I44))/6, AND(Y$24-$I44 =6,NOT(_xlfn.IFNA(ISNUMBER(SEARCH("Rending",$L44)),FALSE))), (7-(Y$24-$I44))/6, AND(Y$24-$I44 &gt;=7,NOT(_xlfn.IFNA(ISNUMBER(SEARCH("Rending",$L44)),FALSE))), 0, Y$24-$I44 =7, (7-(Y$24-1-$I44))/6, Y$24-$I44 =8, (7-(Y$24-2-$I44))/6*2/3, Y$24-$I44 =9, (7-(Y$24-3-$I44))/6*1/3, TRUE, 0)) *
IF(ISNUMBER(SEARCH("Ordinance",$L44)),7/6,1) *
IF(OR(ISNUMBER(SEARCH("Melee",$L44)),ISNUMBER(SEARCH("Bypass",$L44))),1.5,1)</f>
        <v>0</v>
      </c>
      <c r="Z44" s="17" cm="1">
        <f t="array" ref="Z44">$H44 *
IF(ISNUMBER(SEARCH("Rapid",$L44)),7/6,1) *
IF(OR(ISNUMBER(SEARCH("Beam",$L44)),ISNUMBER(SEARCH("Firestorm",$L44))),1, IF(ISNUMBER(SEARCH("Blast",$L44)),(4+$F44+(2-$F44)*0.5)/6*2,(4+$F44)/6)) *
IF(ISNUMBER(SEARCH("Fusion",$L44)), _xlfn.IFS(Z$24-$I44 &lt;=1, 9/10, Z$24-$I44 &lt;=10,(11-(Z$24-$I44))/10, Z$24-$I44 &gt;=11, 0),
_xlfn.IFS(Z$24-$I44 &lt;=1, 5/6, Z$24-$I44 &lt;=5, (7-(Z$24-$I44))/6, AND(Z$24-$I44 =6,NOT(_xlfn.IFNA(ISNUMBER(SEARCH("Rending",$L44)),FALSE))), (7-(Z$24-$I44))/6, AND(Z$24-$I44 &gt;=7,NOT(_xlfn.IFNA(ISNUMBER(SEARCH("Rending",$L44)),FALSE))), 0, Z$24-$I44 =7, (7-(Z$24-1-$I44))/6, Z$24-$I44 =8, (7-(Z$24-2-$I44))/6*2/3, Z$24-$I44 =9, (7-(Z$24-3-$I44))/6*1/3, TRUE, 0)) *
IF(ISNUMBER(SEARCH("Ordinance",$L44)),7/6,1) *
IF(OR(ISNUMBER(SEARCH("Melee",$L44)),ISNUMBER(SEARCH("Bypass",$L44))),1.5,1)</f>
        <v>0</v>
      </c>
      <c r="AA44" s="17" cm="1">
        <f t="array" ref="AA44">$H44 *
IF(ISNUMBER(SEARCH("Rapid",$L44)),7/6,1) *
IF(OR(ISNUMBER(SEARCH("Beam",$L44)),ISNUMBER(SEARCH("Firestorm",$L44))),1, IF(ISNUMBER(SEARCH("Blast",$L44)),(4+$F44+(2-$F44)*0.5)/6*2,(4+$F44)/6)) *
IF(ISNUMBER(SEARCH("Fusion",$L44)), _xlfn.IFS(AA$24-$I44 &lt;=1, 9/10, AA$24-$I44 &lt;=10,(11-(AA$24-$I44))/10, AA$24-$I44 &gt;=11, 0),
_xlfn.IFS(AA$24-$I44 &lt;=1, 5/6, AA$24-$I44 &lt;=5, (7-(AA$24-$I44))/6, AND(AA$24-$I44 =6,NOT(_xlfn.IFNA(ISNUMBER(SEARCH("Rending",$L44)),FALSE))), (7-(AA$24-$I44))/6, AND(AA$24-$I44 &gt;=7,NOT(_xlfn.IFNA(ISNUMBER(SEARCH("Rending",$L44)),FALSE))), 0, AA$24-$I44 =7, (7-(AA$24-1-$I44))/6, AA$24-$I44 =8, (7-(AA$24-2-$I44))/6*2/3, AA$24-$I44 =9, (7-(AA$24-3-$I44))/6*1/3, TRUE, 0)) *
IF(ISNUMBER(SEARCH("Ordinance",$L44)),7/6,1) *
IF(OR(ISNUMBER(SEARCH("Melee",$L44)),ISNUMBER(SEARCH("Bypass",$L44))),1.5,1)</f>
        <v>0</v>
      </c>
      <c r="AB44" s="17" cm="1">
        <f t="array" ref="AB44">$H44 *
IF(ISNUMBER(SEARCH("Rapid",$L44)),7/6,1) *
IF(OR(ISNUMBER(SEARCH("Beam",$L44)),ISNUMBER(SEARCH("Firestorm",$L44))),1, IF(ISNUMBER(SEARCH("Blast",$L44)),(4+$F44+(2-$F44)*0.5)/6*2,(4+$F44)/6)) *
IF(ISNUMBER(SEARCH("Fusion",$L44)), _xlfn.IFS(AB$24-$I44 &lt;=1, 9/10, AB$24-$I44 &lt;=10,(11-(AB$24-$I44))/10, AB$24-$I44 &gt;=11, 0),
_xlfn.IFS(AB$24-$I44 &lt;=1, 5/6, AB$24-$I44 &lt;=5, (7-(AB$24-$I44))/6, AND(AB$24-$I44 =6,NOT(_xlfn.IFNA(ISNUMBER(SEARCH("Rending",$L44)),FALSE))), (7-(AB$24-$I44))/6, AND(AB$24-$I44 &gt;=7,NOT(_xlfn.IFNA(ISNUMBER(SEARCH("Rending",$L44)),FALSE))), 0, AB$24-$I44 =7, (7-(AB$24-1-$I44))/6, AB$24-$I44 =8, (7-(AB$24-2-$I44))/6*2/3, AB$24-$I44 =9, (7-(AB$24-3-$I44))/6*1/3, TRUE, 0)) *
IF(ISNUMBER(SEARCH("Ordinance",$L44)),7/6,1) *
IF(OR(ISNUMBER(SEARCH("Melee",$L44)),ISNUMBER(SEARCH("Bypass",$L44))),1.5,1)</f>
        <v>0</v>
      </c>
      <c r="AC44" s="17" cm="1">
        <f t="array" ref="AC44">$H44 *
IF(ISNUMBER(SEARCH("Rapid",$L44)),7/6,1) *
IF(OR(ISNUMBER(SEARCH("Beam",$L44)),ISNUMBER(SEARCH("Firestorm",$L44))),1, IF(ISNUMBER(SEARCH("Blast",$L44)),(4+$F44+(2-$F44)*0.5)/6*2,(4+$F44)/6)) *
IF(ISNUMBER(SEARCH("Fusion",$L44)), _xlfn.IFS(AC$24-$I44 &lt;=1, 9/10, AC$24-$I44 &lt;=10,(11-(AC$24-$I44))/10, AC$24-$I44 &gt;=11, 0),
_xlfn.IFS(AC$24-$I44 &lt;=1, 5/6, AC$24-$I44 &lt;=5, (7-(AC$24-$I44))/6, AND(AC$24-$I44 =6,NOT(_xlfn.IFNA(ISNUMBER(SEARCH("Rending",$L44)),FALSE))), (7-(AC$24-$I44))/6, AND(AC$24-$I44 &gt;=7,NOT(_xlfn.IFNA(ISNUMBER(SEARCH("Rending",$L44)),FALSE))), 0, AC$24-$I44 =7, (7-(AC$24-1-$I44))/6, AC$24-$I44 =8, (7-(AC$24-2-$I44))/6*2/3, AC$24-$I44 =9, (7-(AC$24-3-$I44))/6*1/3, TRUE, 0)) *
IF(ISNUMBER(SEARCH("Ordinance",$L44)),7/6,1) *
IF(OR(ISNUMBER(SEARCH("Melee",$L44)),ISNUMBER(SEARCH("Bypass",$L44))),1.5,1)</f>
        <v>0</v>
      </c>
      <c r="AD44" s="17" cm="1">
        <f t="array" ref="AD44">$H44 *
IF(ISNUMBER(SEARCH("Rapid",$L44)),7/6,1) *
IF(OR(ISNUMBER(SEARCH("Beam",$L44)),ISNUMBER(SEARCH("Firestorm",$L44))),1, IF(ISNUMBER(SEARCH("Blast",$L44)),(4+$F44+(2-$F44)*0.5)/6*2,(4+$F44)/6)) *
IF(ISNUMBER(SEARCH("Fusion",$L44)), _xlfn.IFS(AD$24-$I44 &lt;=1, 9/10, AD$24-$I44 &lt;=10,(11-(AD$24-$I44))/10, AD$24-$I44 &gt;=11, 0),
_xlfn.IFS(AD$24-$I44 &lt;=1, 5/6, AD$24-$I44 &lt;=5, (7-(AD$24-$I44))/6, AND(AD$24-$I44 =6,NOT(_xlfn.IFNA(ISNUMBER(SEARCH("Rending",$L44)),FALSE))), (7-(AD$24-$I44))/6, AND(AD$24-$I44 &gt;=7,NOT(_xlfn.IFNA(ISNUMBER(SEARCH("Rending",$L44)),FALSE))), 0, AD$24-$I44 =7, (7-(AD$24-1-$I44))/6, AD$24-$I44 =8, (7-(AD$24-2-$I44))/6*2/3, AD$24-$I44 =9, (7-(AD$24-3-$I44))/6*1/3, TRUE, 0)) *
IF(ISNUMBER(SEARCH("Ordinance",$L44)),7/6,1) *
IF(OR(ISNUMBER(SEARCH("Melee",$L44)),ISNUMBER(SEARCH("Bypass",$L44))),1.5,1)</f>
        <v>0</v>
      </c>
      <c r="AE44" s="17" cm="1">
        <f t="array" ref="AE44">$H44 *
IF(ISNUMBER(SEARCH("Rapid",$L44)),7/6,1) *
IF(OR(ISNUMBER(SEARCH("Beam",$L44)),ISNUMBER(SEARCH("Firestorm",$L44))),1, IF(ISNUMBER(SEARCH("Blast",$L44)),(4+$F44+(2-$F44)*0.5)/6*2,(4+$F44)/6)) *
IF(ISNUMBER(SEARCH("Fusion",$L44)), _xlfn.IFS(AE$24-$I44 &lt;=1, 9/10, AE$24-$I44 &lt;=10,(11-(AE$24-$I44))/10, AE$24-$I44 &gt;=11, 0),
_xlfn.IFS(AE$24-$I44 &lt;=1, 5/6, AE$24-$I44 &lt;=5, (7-(AE$24-$I44))/6, AND(AE$24-$I44 =6,NOT(_xlfn.IFNA(ISNUMBER(SEARCH("Rending",$L44)),FALSE))), (7-(AE$24-$I44))/6, AND(AE$24-$I44 &gt;=7,NOT(_xlfn.IFNA(ISNUMBER(SEARCH("Rending",$L44)),FALSE))), 0, AE$24-$I44 =7, (7-(AE$24-1-$I44))/6, AE$24-$I44 =8, (7-(AE$24-2-$I44))/6*2/3, AE$24-$I44 =9, (7-(AE$24-3-$I44))/6*1/3, TRUE, 0)) *
IF(ISNUMBER(SEARCH("Ordinance",$L44)),7/6,1) *
IF(OR(ISNUMBER(SEARCH("Melee",$L44)),ISNUMBER(SEARCH("Bypass",$L44))),1.5,1)</f>
        <v>0</v>
      </c>
      <c r="AF44" s="17" cm="1">
        <f t="array" ref="AF44">$H44 *
IF(ISNUMBER(SEARCH("Rapid",$L44)),7/6,1) *
IF(OR(ISNUMBER(SEARCH("Beam",$L44)),ISNUMBER(SEARCH("Firestorm",$L44))),1, IF(ISNUMBER(SEARCH("Blast",$L44)),(4+$F44+(2-$F44)*0.5)/6*2,(4+$F44)/6)) *
IF(ISNUMBER(SEARCH("Fusion",$L44)), _xlfn.IFS(AF$24-$I44 &lt;=1, 9/10, AF$24-$I44 &lt;=10,(11-(AF$24-$I44))/10, AF$24-$I44 &gt;=11, 0),
_xlfn.IFS(AF$24-$I44 &lt;=1, 5/6, AF$24-$I44 &lt;=5, (7-(AF$24-$I44))/6, AND(AF$24-$I44 =6,NOT(_xlfn.IFNA(ISNUMBER(SEARCH("Rending",$L44)),FALSE))), (7-(AF$24-$I44))/6, AND(AF$24-$I44 &gt;=7,NOT(_xlfn.IFNA(ISNUMBER(SEARCH("Rending",$L44)),FALSE))), 0, AF$24-$I44 =7, (7-(AF$24-1-$I44))/6, AF$24-$I44 =8, (7-(AF$24-2-$I44))/6*2/3, AF$24-$I44 =9, (7-(AF$24-3-$I44))/6*1/3, TRUE, 0)) *
IF(ISNUMBER(SEARCH("Ordinance",$L44)),7/6,1) *
IF(OR(ISNUMBER(SEARCH("Melee",$L44)),ISNUMBER(SEARCH("Bypass",$L44))),1.5,1)</f>
        <v>0</v>
      </c>
      <c r="AG44" s="16">
        <f t="shared" si="3"/>
        <v>0</v>
      </c>
      <c r="AH44" s="16">
        <f t="shared" si="4"/>
        <v>0</v>
      </c>
      <c r="AI44" s="17" cm="1">
        <f t="array" ref="AI44">$H44 *
IF(ISNUMBER(SEARCH("Rapid",$L44)),7/6,1) *
IF(OR(ISNUMBER(SEARCH("Beam",$L44)),ISNUMBER(SEARCH("Firestorm",$L44))),1, IF(ISNUMBER(SEARCH("Blast",$L44)),(4+$G44+(2-$G44)*0.5)/6*2,(4+$G44)/6)) *
_xlfn.IFS(AI$24-$I44 &lt;=1, 5/6, AI$24-$I44 &lt;=5, (7-(AI$24-$I44))/6, AND(AI$24-$I44 =6,NOT(_xlfn.IFNA(ISNUMBER(SEARCH("Rending",$L44)),FALSE))), (7-(AI$24-$I44))/6, AND(AI$24-$I44 &gt;=7,NOT(_xlfn.IFNA(ISNUMBER(SEARCH("Rending",$L44)),FALSE))), 0, AI$24-$I44 =7, (7-(AI$24-1-$I44))/6, AI$24-$I44 =8, (7-(AI$24-2-$I44))/6*2/3, AI$24-$I44 =9, (7-(AI$24-3-$I44))/6*1/3, TRUE, 0) *
IF(ISNUMBER(SEARCH("Ordinance",$L44)),7/6,1) *
IF(OR(ISNUMBER(SEARCH("Melee",$L44)),ISNUMBER(SEARCH("Bypass",$L44))),1.5,1)</f>
        <v>0</v>
      </c>
      <c r="AJ44" s="17" cm="1">
        <f t="array" ref="AJ44">$H44 *
IF(ISNUMBER(SEARCH("Rapid",$L44)),7/6,1) *
IF(OR(ISNUMBER(SEARCH("Beam",$L44)),ISNUMBER(SEARCH("Firestorm",$L44))),1, IF(ISNUMBER(SEARCH("Blast",$L44)),(4+$G44+(2-$G44)*0.5)/6*2,(4+$G44)/6)) *
_xlfn.IFS(AJ$24-$I44 &lt;=1, 5/6, AJ$24-$I44 &lt;=5, (7-(AJ$24-$I44))/6, AND(AJ$24-$I44 =6,NOT(_xlfn.IFNA(ISNUMBER(SEARCH("Rending",$L44)),FALSE))), (7-(AJ$24-$I44))/6, AND(AJ$24-$I44 &gt;=7,NOT(_xlfn.IFNA(ISNUMBER(SEARCH("Rending",$L44)),FALSE))), 0, AJ$24-$I44 =7, (7-(AJ$24-1-$I44))/6, AJ$24-$I44 =8, (7-(AJ$24-2-$I44))/6*2/3, AJ$24-$I44 =9, (7-(AJ$24-3-$I44))/6*1/3, TRUE, 0) *
IF(ISNUMBER(SEARCH("Ordinance",$L44)),7/6,1) *
IF(OR(ISNUMBER(SEARCH("Melee",$L44)),ISNUMBER(SEARCH("Bypass",$L44))),1.5,1)</f>
        <v>0</v>
      </c>
      <c r="AK44" s="17" cm="1">
        <f t="array" ref="AK44">$H44 *
IF(ISNUMBER(SEARCH("Rapid",$L44)),7/6,1) *
IF(OR(ISNUMBER(SEARCH("Beam",$L44)),ISNUMBER(SEARCH("Firestorm",$L44))),1, IF(ISNUMBER(SEARCH("Blast",$L44)),(4+$G44+(2-$G44)*0.5)/6*2,(4+$G44)/6)) *
_xlfn.IFS(AK$24-$I44 &lt;=1, 5/6, AK$24-$I44 &lt;=5, (7-(AK$24-$I44))/6, AND(AK$24-$I44 =6,NOT(_xlfn.IFNA(ISNUMBER(SEARCH("Rending",$L44)),FALSE))), (7-(AK$24-$I44))/6, AND(AK$24-$I44 &gt;=7,NOT(_xlfn.IFNA(ISNUMBER(SEARCH("Rending",$L44)),FALSE))), 0, AK$24-$I44 =7, (7-(AK$24-1-$I44))/6, AK$24-$I44 =8, (7-(AK$24-2-$I44))/6*2/3, AK$24-$I44 =9, (7-(AK$24-3-$I44))/6*1/3, TRUE, 0) *
IF(ISNUMBER(SEARCH("Ordinance",$L44)),7/6,1) *
IF(OR(ISNUMBER(SEARCH("Melee",$L44)),ISNUMBER(SEARCH("Bypass",$L44))),1.5,1)</f>
        <v>0</v>
      </c>
      <c r="AL44" s="17" cm="1">
        <f t="array" ref="AL44">$H44 *
IF(ISNUMBER(SEARCH("Rapid",$L44)),7/6,1) *
IF(OR(ISNUMBER(SEARCH("Beam",$L44)),ISNUMBER(SEARCH("Firestorm",$L44))),1, IF(ISNUMBER(SEARCH("Blast",$L44)),(4+$G44+(2-$G44)*0.5)/6*2,(4+$G44)/6)) *
_xlfn.IFS(AL$24-$I44 &lt;=1, 5/6, AL$24-$I44 &lt;=5, (7-(AL$24-$I44))/6, AND(AL$24-$I44 =6,NOT(_xlfn.IFNA(ISNUMBER(SEARCH("Rending",$L44)),FALSE))), (7-(AL$24-$I44))/6, AND(AL$24-$I44 &gt;=7,NOT(_xlfn.IFNA(ISNUMBER(SEARCH("Rending",$L44)),FALSE))), 0, AL$24-$I44 =7, (7-(AL$24-1-$I44))/6, AL$24-$I44 =8, (7-(AL$24-2-$I44))/6*2/3, AL$24-$I44 =9, (7-(AL$24-3-$I44))/6*1/3, TRUE, 0) *
IF(ISNUMBER(SEARCH("Ordinance",$L44)),7/6,1) *
IF(OR(ISNUMBER(SEARCH("Melee",$L44)),ISNUMBER(SEARCH("Bypass",$L44))),1.5,1)</f>
        <v>0</v>
      </c>
      <c r="AM44" s="17" cm="1">
        <f t="array" ref="AM44">$H44 *
IF(ISNUMBER(SEARCH("Rapid",$L44)),7/6,1) *
IF(OR(ISNUMBER(SEARCH("Beam",$L44)),ISNUMBER(SEARCH("Firestorm",$L44))),1, IF(ISNUMBER(SEARCH("Blast",$L44)),(4+$G44+(2-$G44)*0.5)/6*2,(4+$G44)/6)) *
_xlfn.IFS(AM$24-$I44 &lt;=1, 5/6, AM$24-$I44 &lt;=5, (7-(AM$24-$I44))/6, AND(AM$24-$I44 =6,NOT(_xlfn.IFNA(ISNUMBER(SEARCH("Rending",$L44)),FALSE))), (7-(AM$24-$I44))/6, AND(AM$24-$I44 &gt;=7,NOT(_xlfn.IFNA(ISNUMBER(SEARCH("Rending",$L44)),FALSE))), 0, AM$24-$I44 =7, (7-(AM$24-1-$I44))/6, AM$24-$I44 =8, (7-(AM$24-2-$I44))/6*2/3, AM$24-$I44 =9, (7-(AM$24-3-$I44))/6*1/3, TRUE, 0) *
IF(ISNUMBER(SEARCH("Ordinance",$L44)),7/6,1) *
IF(OR(ISNUMBER(SEARCH("Melee",$L44)),ISNUMBER(SEARCH("Bypass",$L44))),1.5,1)</f>
        <v>0</v>
      </c>
      <c r="AN44" s="17" cm="1">
        <f t="array" ref="AN44">$H44 *
IF(ISNUMBER(SEARCH("Rapid",$L44)),7/6,1) *
IF(OR(ISNUMBER(SEARCH("Beam",$L44)),ISNUMBER(SEARCH("Firestorm",$L44))),1, IF(ISNUMBER(SEARCH("Blast",$L44)),(4+$G44+(2-$G44)*0.5)/6*2,(4+$G44)/6)) *
_xlfn.IFS(AN$24-$I44 &lt;=1, 5/6, AN$24-$I44 &lt;=5, (7-(AN$24-$I44))/6, AND(AN$24-$I44 =6,NOT(_xlfn.IFNA(ISNUMBER(SEARCH("Rending",$L44)),FALSE))), (7-(AN$24-$I44))/6, AND(AN$24-$I44 &gt;=7,NOT(_xlfn.IFNA(ISNUMBER(SEARCH("Rending",$L44)),FALSE))), 0, AN$24-$I44 =7, (7-(AN$24-1-$I44))/6, AN$24-$I44 =8, (7-(AN$24-2-$I44))/6*2/3, AN$24-$I44 =9, (7-(AN$24-3-$I44))/6*1/3, TRUE, 0) *
IF(ISNUMBER(SEARCH("Ordinance",$L44)),7/6,1) *
IF(OR(ISNUMBER(SEARCH("Melee",$L44)),ISNUMBER(SEARCH("Bypass",$L44))),1.5,1)</f>
        <v>0</v>
      </c>
      <c r="AO44" s="17" cm="1">
        <f t="array" ref="AO44">$H44 *
IF(ISNUMBER(SEARCH("Rapid",$L44)),7/6,1) *
IF(OR(ISNUMBER(SEARCH("Beam",$L44)),ISNUMBER(SEARCH("Firestorm",$L44))),1, IF(ISNUMBER(SEARCH("Blast",$L44)),(4+$G44+(2-$G44)*0.5)/6*2,(4+$G44)/6)) *
_xlfn.IFS(AO$24-$I44 &lt;=1, 5/6, AO$24-$I44 &lt;=5, (7-(AO$24-$I44))/6, AND(AO$24-$I44 =6,NOT(_xlfn.IFNA(ISNUMBER(SEARCH("Rending",$L44)),FALSE))), (7-(AO$24-$I44))/6, AND(AO$24-$I44 &gt;=7,NOT(_xlfn.IFNA(ISNUMBER(SEARCH("Rending",$L44)),FALSE))), 0, AO$24-$I44 =7, (7-(AO$24-1-$I44))/6, AO$24-$I44 =8, (7-(AO$24-2-$I44))/6*2/3, AO$24-$I44 =9, (7-(AO$24-3-$I44))/6*1/3, TRUE, 0) *
IF(ISNUMBER(SEARCH("Ordinance",$L44)),7/6,1) *
IF(OR(ISNUMBER(SEARCH("Melee",$L44)),ISNUMBER(SEARCH("Bypass",$L44))),1.5,1)</f>
        <v>0</v>
      </c>
      <c r="AP44" s="17" cm="1">
        <f t="array" ref="AP44">$H44 *
IF(ISNUMBER(SEARCH("Rapid",$L44)),7/6,1) *
IF(OR(ISNUMBER(SEARCH("Beam",$L44)),ISNUMBER(SEARCH("Firestorm",$L44))),1, IF(ISNUMBER(SEARCH("Blast",$L44)),(4+$G44+(2-$G44)*0.5)/6*2,(4+$G44)/6)) *
_xlfn.IFS(AP$24-$I44 &lt;=1, 5/6, AP$24-$I44 &lt;=5, (7-(AP$24-$I44))/6, AND(AP$24-$I44 =6,NOT(_xlfn.IFNA(ISNUMBER(SEARCH("Rending",$L44)),FALSE))), (7-(AP$24-$I44))/6, AND(AP$24-$I44 &gt;=7,NOT(_xlfn.IFNA(ISNUMBER(SEARCH("Rending",$L44)),FALSE))), 0, AP$24-$I44 =7, (7-(AP$24-1-$I44))/6, AP$24-$I44 =8, (7-(AP$24-2-$I44))/6*2/3, AP$24-$I44 =9, (7-(AP$24-3-$I44))/6*1/3, TRUE, 0) *
IF(ISNUMBER(SEARCH("Ordinance",$L44)),7/6,1) *
IF(OR(ISNUMBER(SEARCH("Melee",$L44)),ISNUMBER(SEARCH("Bypass",$L44))),1.5,1)</f>
        <v>0</v>
      </c>
      <c r="AQ44" s="17" cm="1">
        <f t="array" ref="AQ44">$H44 *
IF(ISNUMBER(SEARCH("Rapid",$L44)),7/6,1) *
IF(OR(ISNUMBER(SEARCH("Beam",$L44)),ISNUMBER(SEARCH("Firestorm",$L44))),1, IF(ISNUMBER(SEARCH("Blast",$L44)),(4+$G44+(2-$G44)*0.5)/6*2,(4+$G44)/6)) *
_xlfn.IFS(AQ$24-$I44 &lt;=1, 5/6, AQ$24-$I44 &lt;=5, (7-(AQ$24-$I44))/6, AND(AQ$24-$I44 =6,NOT(_xlfn.IFNA(ISNUMBER(SEARCH("Rending",$L44)),FALSE))), (7-(AQ$24-$I44))/6, AND(AQ$24-$I44 &gt;=7,NOT(_xlfn.IFNA(ISNUMBER(SEARCH("Rending",$L44)),FALSE))), 0, AQ$24-$I44 =7, (7-(AQ$24-1-$I44))/6, AQ$24-$I44 =8, (7-(AQ$24-2-$I44))/6*2/3, AQ$24-$I44 =9, (7-(AQ$24-3-$I44))/6*1/3, TRUE, 0) *
IF(ISNUMBER(SEARCH("Ordinance",$L44)),7/6,1) *
IF(OR(ISNUMBER(SEARCH("Melee",$L44)),ISNUMBER(SEARCH("Bypass",$L44))),1.5,1)</f>
        <v>0</v>
      </c>
      <c r="AS44" s="16"/>
      <c r="AT44" s="16"/>
      <c r="AU44" s="16"/>
    </row>
    <row r="45" spans="1:48" x14ac:dyDescent="0.3">
      <c r="V45" s="16">
        <f t="shared" si="1"/>
        <v>0</v>
      </c>
      <c r="W45" s="16">
        <f t="shared" si="2"/>
        <v>0</v>
      </c>
      <c r="X45" s="17" cm="1">
        <f t="array" ref="X45">$H45 *
IF(ISNUMBER(SEARCH("Rapid",$L45)),7/6,1) *
IF(OR(ISNUMBER(SEARCH("Beam",$L45)),ISNUMBER(SEARCH("Firestorm",$L45))),1, IF(ISNUMBER(SEARCH("Blast",$L45)),(4+$F45+(2-$F45)*0.5)/6*2,(4+$F45)/6)) *
IF(ISNUMBER(SEARCH("Fusion",$L45)), _xlfn.IFS(X$24-$I45 &lt;=1, 9/10, X$24-$I45 &lt;=10,(11-(X$24-$I45))/10, X$24-$I45 &gt;=11, 0),
_xlfn.IFS(X$24-$I45 &lt;=1, 5/6, X$24-$I45 &lt;=5, (7-(X$24-$I45))/6, AND(X$24-$I45 =6,NOT(_xlfn.IFNA(ISNUMBER(SEARCH("Rending",$L45)),FALSE))), (7-(X$24-$I45))/6, AND(X$24-$I45 &gt;=7,NOT(_xlfn.IFNA(ISNUMBER(SEARCH("Rending",$L45)),FALSE))), 0, X$24-$I45 =7, (7-(X$24-1-$I45))/6, X$24-$I45 =8, (7-(X$24-2-$I45))/6*2/3, X$24-$I45 =9, (7-(X$24-3-$I45))/6*1/3, TRUE, 0)) *
IF(ISNUMBER(SEARCH("Ordinance",$L45)),7/6,1) *
IF(OR(ISNUMBER(SEARCH("Melee",$L45)),ISNUMBER(SEARCH("Bypass",$L45))),1.5,1)</f>
        <v>0</v>
      </c>
      <c r="Y45" s="17" cm="1">
        <f t="array" ref="Y45">$H45 *
IF(ISNUMBER(SEARCH("Rapid",$L45)),7/6,1) *
IF(OR(ISNUMBER(SEARCH("Beam",$L45)),ISNUMBER(SEARCH("Firestorm",$L45))),1, IF(ISNUMBER(SEARCH("Blast",$L45)),(4+$F45+(2-$F45)*0.5)/6*2,(4+$F45)/6)) *
IF(ISNUMBER(SEARCH("Fusion",$L45)), _xlfn.IFS(Y$24-$I45 &lt;=1, 9/10, Y$24-$I45 &lt;=10,(11-(Y$24-$I45))/10, Y$24-$I45 &gt;=11, 0),
_xlfn.IFS(Y$24-$I45 &lt;=1, 5/6, Y$24-$I45 &lt;=5, (7-(Y$24-$I45))/6, AND(Y$24-$I45 =6,NOT(_xlfn.IFNA(ISNUMBER(SEARCH("Rending",$L45)),FALSE))), (7-(Y$24-$I45))/6, AND(Y$24-$I45 &gt;=7,NOT(_xlfn.IFNA(ISNUMBER(SEARCH("Rending",$L45)),FALSE))), 0, Y$24-$I45 =7, (7-(Y$24-1-$I45))/6, Y$24-$I45 =8, (7-(Y$24-2-$I45))/6*2/3, Y$24-$I45 =9, (7-(Y$24-3-$I45))/6*1/3, TRUE, 0)) *
IF(ISNUMBER(SEARCH("Ordinance",$L45)),7/6,1) *
IF(OR(ISNUMBER(SEARCH("Melee",$L45)),ISNUMBER(SEARCH("Bypass",$L45))),1.5,1)</f>
        <v>0</v>
      </c>
      <c r="Z45" s="17" cm="1">
        <f t="array" ref="Z45">$H45 *
IF(ISNUMBER(SEARCH("Rapid",$L45)),7/6,1) *
IF(OR(ISNUMBER(SEARCH("Beam",$L45)),ISNUMBER(SEARCH("Firestorm",$L45))),1, IF(ISNUMBER(SEARCH("Blast",$L45)),(4+$F45+(2-$F45)*0.5)/6*2,(4+$F45)/6)) *
IF(ISNUMBER(SEARCH("Fusion",$L45)), _xlfn.IFS(Z$24-$I45 &lt;=1, 9/10, Z$24-$I45 &lt;=10,(11-(Z$24-$I45))/10, Z$24-$I45 &gt;=11, 0),
_xlfn.IFS(Z$24-$I45 &lt;=1, 5/6, Z$24-$I45 &lt;=5, (7-(Z$24-$I45))/6, AND(Z$24-$I45 =6,NOT(_xlfn.IFNA(ISNUMBER(SEARCH("Rending",$L45)),FALSE))), (7-(Z$24-$I45))/6, AND(Z$24-$I45 &gt;=7,NOT(_xlfn.IFNA(ISNUMBER(SEARCH("Rending",$L45)),FALSE))), 0, Z$24-$I45 =7, (7-(Z$24-1-$I45))/6, Z$24-$I45 =8, (7-(Z$24-2-$I45))/6*2/3, Z$24-$I45 =9, (7-(Z$24-3-$I45))/6*1/3, TRUE, 0)) *
IF(ISNUMBER(SEARCH("Ordinance",$L45)),7/6,1) *
IF(OR(ISNUMBER(SEARCH("Melee",$L45)),ISNUMBER(SEARCH("Bypass",$L45))),1.5,1)</f>
        <v>0</v>
      </c>
      <c r="AA45" s="17" cm="1">
        <f t="array" ref="AA45">$H45 *
IF(ISNUMBER(SEARCH("Rapid",$L45)),7/6,1) *
IF(OR(ISNUMBER(SEARCH("Beam",$L45)),ISNUMBER(SEARCH("Firestorm",$L45))),1, IF(ISNUMBER(SEARCH("Blast",$L45)),(4+$F45+(2-$F45)*0.5)/6*2,(4+$F45)/6)) *
IF(ISNUMBER(SEARCH("Fusion",$L45)), _xlfn.IFS(AA$24-$I45 &lt;=1, 9/10, AA$24-$I45 &lt;=10,(11-(AA$24-$I45))/10, AA$24-$I45 &gt;=11, 0),
_xlfn.IFS(AA$24-$I45 &lt;=1, 5/6, AA$24-$I45 &lt;=5, (7-(AA$24-$I45))/6, AND(AA$24-$I45 =6,NOT(_xlfn.IFNA(ISNUMBER(SEARCH("Rending",$L45)),FALSE))), (7-(AA$24-$I45))/6, AND(AA$24-$I45 &gt;=7,NOT(_xlfn.IFNA(ISNUMBER(SEARCH("Rending",$L45)),FALSE))), 0, AA$24-$I45 =7, (7-(AA$24-1-$I45))/6, AA$24-$I45 =8, (7-(AA$24-2-$I45))/6*2/3, AA$24-$I45 =9, (7-(AA$24-3-$I45))/6*1/3, TRUE, 0)) *
IF(ISNUMBER(SEARCH("Ordinance",$L45)),7/6,1) *
IF(OR(ISNUMBER(SEARCH("Melee",$L45)),ISNUMBER(SEARCH("Bypass",$L45))),1.5,1)</f>
        <v>0</v>
      </c>
      <c r="AB45" s="17" cm="1">
        <f t="array" ref="AB45">$H45 *
IF(ISNUMBER(SEARCH("Rapid",$L45)),7/6,1) *
IF(OR(ISNUMBER(SEARCH("Beam",$L45)),ISNUMBER(SEARCH("Firestorm",$L45))),1, IF(ISNUMBER(SEARCH("Blast",$L45)),(4+$F45+(2-$F45)*0.5)/6*2,(4+$F45)/6)) *
IF(ISNUMBER(SEARCH("Fusion",$L45)), _xlfn.IFS(AB$24-$I45 &lt;=1, 9/10, AB$24-$I45 &lt;=10,(11-(AB$24-$I45))/10, AB$24-$I45 &gt;=11, 0),
_xlfn.IFS(AB$24-$I45 &lt;=1, 5/6, AB$24-$I45 &lt;=5, (7-(AB$24-$I45))/6, AND(AB$24-$I45 =6,NOT(_xlfn.IFNA(ISNUMBER(SEARCH("Rending",$L45)),FALSE))), (7-(AB$24-$I45))/6, AND(AB$24-$I45 &gt;=7,NOT(_xlfn.IFNA(ISNUMBER(SEARCH("Rending",$L45)),FALSE))), 0, AB$24-$I45 =7, (7-(AB$24-1-$I45))/6, AB$24-$I45 =8, (7-(AB$24-2-$I45))/6*2/3, AB$24-$I45 =9, (7-(AB$24-3-$I45))/6*1/3, TRUE, 0)) *
IF(ISNUMBER(SEARCH("Ordinance",$L45)),7/6,1) *
IF(OR(ISNUMBER(SEARCH("Melee",$L45)),ISNUMBER(SEARCH("Bypass",$L45))),1.5,1)</f>
        <v>0</v>
      </c>
      <c r="AC45" s="17" cm="1">
        <f t="array" ref="AC45">$H45 *
IF(ISNUMBER(SEARCH("Rapid",$L45)),7/6,1) *
IF(OR(ISNUMBER(SEARCH("Beam",$L45)),ISNUMBER(SEARCH("Firestorm",$L45))),1, IF(ISNUMBER(SEARCH("Blast",$L45)),(4+$F45+(2-$F45)*0.5)/6*2,(4+$F45)/6)) *
IF(ISNUMBER(SEARCH("Fusion",$L45)), _xlfn.IFS(AC$24-$I45 &lt;=1, 9/10, AC$24-$I45 &lt;=10,(11-(AC$24-$I45))/10, AC$24-$I45 &gt;=11, 0),
_xlfn.IFS(AC$24-$I45 &lt;=1, 5/6, AC$24-$I45 &lt;=5, (7-(AC$24-$I45))/6, AND(AC$24-$I45 =6,NOT(_xlfn.IFNA(ISNUMBER(SEARCH("Rending",$L45)),FALSE))), (7-(AC$24-$I45))/6, AND(AC$24-$I45 &gt;=7,NOT(_xlfn.IFNA(ISNUMBER(SEARCH("Rending",$L45)),FALSE))), 0, AC$24-$I45 =7, (7-(AC$24-1-$I45))/6, AC$24-$I45 =8, (7-(AC$24-2-$I45))/6*2/3, AC$24-$I45 =9, (7-(AC$24-3-$I45))/6*1/3, TRUE, 0)) *
IF(ISNUMBER(SEARCH("Ordinance",$L45)),7/6,1) *
IF(OR(ISNUMBER(SEARCH("Melee",$L45)),ISNUMBER(SEARCH("Bypass",$L45))),1.5,1)</f>
        <v>0</v>
      </c>
      <c r="AD45" s="17" cm="1">
        <f t="array" ref="AD45">$H45 *
IF(ISNUMBER(SEARCH("Rapid",$L45)),7/6,1) *
IF(OR(ISNUMBER(SEARCH("Beam",$L45)),ISNUMBER(SEARCH("Firestorm",$L45))),1, IF(ISNUMBER(SEARCH("Blast",$L45)),(4+$F45+(2-$F45)*0.5)/6*2,(4+$F45)/6)) *
IF(ISNUMBER(SEARCH("Fusion",$L45)), _xlfn.IFS(AD$24-$I45 &lt;=1, 9/10, AD$24-$I45 &lt;=10,(11-(AD$24-$I45))/10, AD$24-$I45 &gt;=11, 0),
_xlfn.IFS(AD$24-$I45 &lt;=1, 5/6, AD$24-$I45 &lt;=5, (7-(AD$24-$I45))/6, AND(AD$24-$I45 =6,NOT(_xlfn.IFNA(ISNUMBER(SEARCH("Rending",$L45)),FALSE))), (7-(AD$24-$I45))/6, AND(AD$24-$I45 &gt;=7,NOT(_xlfn.IFNA(ISNUMBER(SEARCH("Rending",$L45)),FALSE))), 0, AD$24-$I45 =7, (7-(AD$24-1-$I45))/6, AD$24-$I45 =8, (7-(AD$24-2-$I45))/6*2/3, AD$24-$I45 =9, (7-(AD$24-3-$I45))/6*1/3, TRUE, 0)) *
IF(ISNUMBER(SEARCH("Ordinance",$L45)),7/6,1) *
IF(OR(ISNUMBER(SEARCH("Melee",$L45)),ISNUMBER(SEARCH("Bypass",$L45))),1.5,1)</f>
        <v>0</v>
      </c>
      <c r="AE45" s="17" cm="1">
        <f t="array" ref="AE45">$H45 *
IF(ISNUMBER(SEARCH("Rapid",$L45)),7/6,1) *
IF(OR(ISNUMBER(SEARCH("Beam",$L45)),ISNUMBER(SEARCH("Firestorm",$L45))),1, IF(ISNUMBER(SEARCH("Blast",$L45)),(4+$F45+(2-$F45)*0.5)/6*2,(4+$F45)/6)) *
IF(ISNUMBER(SEARCH("Fusion",$L45)), _xlfn.IFS(AE$24-$I45 &lt;=1, 9/10, AE$24-$I45 &lt;=10,(11-(AE$24-$I45))/10, AE$24-$I45 &gt;=11, 0),
_xlfn.IFS(AE$24-$I45 &lt;=1, 5/6, AE$24-$I45 &lt;=5, (7-(AE$24-$I45))/6, AND(AE$24-$I45 =6,NOT(_xlfn.IFNA(ISNUMBER(SEARCH("Rending",$L45)),FALSE))), (7-(AE$24-$I45))/6, AND(AE$24-$I45 &gt;=7,NOT(_xlfn.IFNA(ISNUMBER(SEARCH("Rending",$L45)),FALSE))), 0, AE$24-$I45 =7, (7-(AE$24-1-$I45))/6, AE$24-$I45 =8, (7-(AE$24-2-$I45))/6*2/3, AE$24-$I45 =9, (7-(AE$24-3-$I45))/6*1/3, TRUE, 0)) *
IF(ISNUMBER(SEARCH("Ordinance",$L45)),7/6,1) *
IF(OR(ISNUMBER(SEARCH("Melee",$L45)),ISNUMBER(SEARCH("Bypass",$L45))),1.5,1)</f>
        <v>0</v>
      </c>
      <c r="AF45" s="17" cm="1">
        <f t="array" ref="AF45">$H45 *
IF(ISNUMBER(SEARCH("Rapid",$L45)),7/6,1) *
IF(OR(ISNUMBER(SEARCH("Beam",$L45)),ISNUMBER(SEARCH("Firestorm",$L45))),1, IF(ISNUMBER(SEARCH("Blast",$L45)),(4+$F45+(2-$F45)*0.5)/6*2,(4+$F45)/6)) *
IF(ISNUMBER(SEARCH("Fusion",$L45)), _xlfn.IFS(AF$24-$I45 &lt;=1, 9/10, AF$24-$I45 &lt;=10,(11-(AF$24-$I45))/10, AF$24-$I45 &gt;=11, 0),
_xlfn.IFS(AF$24-$I45 &lt;=1, 5/6, AF$24-$I45 &lt;=5, (7-(AF$24-$I45))/6, AND(AF$24-$I45 =6,NOT(_xlfn.IFNA(ISNUMBER(SEARCH("Rending",$L45)),FALSE))), (7-(AF$24-$I45))/6, AND(AF$24-$I45 &gt;=7,NOT(_xlfn.IFNA(ISNUMBER(SEARCH("Rending",$L45)),FALSE))), 0, AF$24-$I45 =7, (7-(AF$24-1-$I45))/6, AF$24-$I45 =8, (7-(AF$24-2-$I45))/6*2/3, AF$24-$I45 =9, (7-(AF$24-3-$I45))/6*1/3, TRUE, 0)) *
IF(ISNUMBER(SEARCH("Ordinance",$L45)),7/6,1) *
IF(OR(ISNUMBER(SEARCH("Melee",$L45)),ISNUMBER(SEARCH("Bypass",$L45))),1.5,1)</f>
        <v>0</v>
      </c>
      <c r="AG45" s="16">
        <f t="shared" si="3"/>
        <v>0</v>
      </c>
      <c r="AH45" s="16">
        <f t="shared" si="4"/>
        <v>0</v>
      </c>
      <c r="AI45" s="17" cm="1">
        <f t="array" ref="AI45">$H45 *
IF(ISNUMBER(SEARCH("Rapid",$L45)),7/6,1) *
IF(OR(ISNUMBER(SEARCH("Beam",$L45)),ISNUMBER(SEARCH("Firestorm",$L45))),1, IF(ISNUMBER(SEARCH("Blast",$L45)),(4+$G45+(2-$G45)*0.5)/6*2,(4+$G45)/6)) *
_xlfn.IFS(AI$24-$I45 &lt;=1, 5/6, AI$24-$I45 &lt;=5, (7-(AI$24-$I45))/6, AND(AI$24-$I45 =6,NOT(_xlfn.IFNA(ISNUMBER(SEARCH("Rending",$L45)),FALSE))), (7-(AI$24-$I45))/6, AND(AI$24-$I45 &gt;=7,NOT(_xlfn.IFNA(ISNUMBER(SEARCH("Rending",$L45)),FALSE))), 0, AI$24-$I45 =7, (7-(AI$24-1-$I45))/6, AI$24-$I45 =8, (7-(AI$24-2-$I45))/6*2/3, AI$24-$I45 =9, (7-(AI$24-3-$I45))/6*1/3, TRUE, 0) *
IF(ISNUMBER(SEARCH("Ordinance",$L45)),7/6,1) *
IF(OR(ISNUMBER(SEARCH("Melee",$L45)),ISNUMBER(SEARCH("Bypass",$L45))),1.5,1)</f>
        <v>0</v>
      </c>
      <c r="AJ45" s="17" cm="1">
        <f t="array" ref="AJ45">$H45 *
IF(ISNUMBER(SEARCH("Rapid",$L45)),7/6,1) *
IF(OR(ISNUMBER(SEARCH("Beam",$L45)),ISNUMBER(SEARCH("Firestorm",$L45))),1, IF(ISNUMBER(SEARCH("Blast",$L45)),(4+$G45+(2-$G45)*0.5)/6*2,(4+$G45)/6)) *
_xlfn.IFS(AJ$24-$I45 &lt;=1, 5/6, AJ$24-$I45 &lt;=5, (7-(AJ$24-$I45))/6, AND(AJ$24-$I45 =6,NOT(_xlfn.IFNA(ISNUMBER(SEARCH("Rending",$L45)),FALSE))), (7-(AJ$24-$I45))/6, AND(AJ$24-$I45 &gt;=7,NOT(_xlfn.IFNA(ISNUMBER(SEARCH("Rending",$L45)),FALSE))), 0, AJ$24-$I45 =7, (7-(AJ$24-1-$I45))/6, AJ$24-$I45 =8, (7-(AJ$24-2-$I45))/6*2/3, AJ$24-$I45 =9, (7-(AJ$24-3-$I45))/6*1/3, TRUE, 0) *
IF(ISNUMBER(SEARCH("Ordinance",$L45)),7/6,1) *
IF(OR(ISNUMBER(SEARCH("Melee",$L45)),ISNUMBER(SEARCH("Bypass",$L45))),1.5,1)</f>
        <v>0</v>
      </c>
      <c r="AK45" s="17" cm="1">
        <f t="array" ref="AK45">$H45 *
IF(ISNUMBER(SEARCH("Rapid",$L45)),7/6,1) *
IF(OR(ISNUMBER(SEARCH("Beam",$L45)),ISNUMBER(SEARCH("Firestorm",$L45))),1, IF(ISNUMBER(SEARCH("Blast",$L45)),(4+$G45+(2-$G45)*0.5)/6*2,(4+$G45)/6)) *
_xlfn.IFS(AK$24-$I45 &lt;=1, 5/6, AK$24-$I45 &lt;=5, (7-(AK$24-$I45))/6, AND(AK$24-$I45 =6,NOT(_xlfn.IFNA(ISNUMBER(SEARCH("Rending",$L45)),FALSE))), (7-(AK$24-$I45))/6, AND(AK$24-$I45 &gt;=7,NOT(_xlfn.IFNA(ISNUMBER(SEARCH("Rending",$L45)),FALSE))), 0, AK$24-$I45 =7, (7-(AK$24-1-$I45))/6, AK$24-$I45 =8, (7-(AK$24-2-$I45))/6*2/3, AK$24-$I45 =9, (7-(AK$24-3-$I45))/6*1/3, TRUE, 0) *
IF(ISNUMBER(SEARCH("Ordinance",$L45)),7/6,1) *
IF(OR(ISNUMBER(SEARCH("Melee",$L45)),ISNUMBER(SEARCH("Bypass",$L45))),1.5,1)</f>
        <v>0</v>
      </c>
      <c r="AL45" s="17" cm="1">
        <f t="array" ref="AL45">$H45 *
IF(ISNUMBER(SEARCH("Rapid",$L45)),7/6,1) *
IF(OR(ISNUMBER(SEARCH("Beam",$L45)),ISNUMBER(SEARCH("Firestorm",$L45))),1, IF(ISNUMBER(SEARCH("Blast",$L45)),(4+$G45+(2-$G45)*0.5)/6*2,(4+$G45)/6)) *
_xlfn.IFS(AL$24-$I45 &lt;=1, 5/6, AL$24-$I45 &lt;=5, (7-(AL$24-$I45))/6, AND(AL$24-$I45 =6,NOT(_xlfn.IFNA(ISNUMBER(SEARCH("Rending",$L45)),FALSE))), (7-(AL$24-$I45))/6, AND(AL$24-$I45 &gt;=7,NOT(_xlfn.IFNA(ISNUMBER(SEARCH("Rending",$L45)),FALSE))), 0, AL$24-$I45 =7, (7-(AL$24-1-$I45))/6, AL$24-$I45 =8, (7-(AL$24-2-$I45))/6*2/3, AL$24-$I45 =9, (7-(AL$24-3-$I45))/6*1/3, TRUE, 0) *
IF(ISNUMBER(SEARCH("Ordinance",$L45)),7/6,1) *
IF(OR(ISNUMBER(SEARCH("Melee",$L45)),ISNUMBER(SEARCH("Bypass",$L45))),1.5,1)</f>
        <v>0</v>
      </c>
      <c r="AM45" s="17" cm="1">
        <f t="array" ref="AM45">$H45 *
IF(ISNUMBER(SEARCH("Rapid",$L45)),7/6,1) *
IF(OR(ISNUMBER(SEARCH("Beam",$L45)),ISNUMBER(SEARCH("Firestorm",$L45))),1, IF(ISNUMBER(SEARCH("Blast",$L45)),(4+$G45+(2-$G45)*0.5)/6*2,(4+$G45)/6)) *
_xlfn.IFS(AM$24-$I45 &lt;=1, 5/6, AM$24-$I45 &lt;=5, (7-(AM$24-$I45))/6, AND(AM$24-$I45 =6,NOT(_xlfn.IFNA(ISNUMBER(SEARCH("Rending",$L45)),FALSE))), (7-(AM$24-$I45))/6, AND(AM$24-$I45 &gt;=7,NOT(_xlfn.IFNA(ISNUMBER(SEARCH("Rending",$L45)),FALSE))), 0, AM$24-$I45 =7, (7-(AM$24-1-$I45))/6, AM$24-$I45 =8, (7-(AM$24-2-$I45))/6*2/3, AM$24-$I45 =9, (7-(AM$24-3-$I45))/6*1/3, TRUE, 0) *
IF(ISNUMBER(SEARCH("Ordinance",$L45)),7/6,1) *
IF(OR(ISNUMBER(SEARCH("Melee",$L45)),ISNUMBER(SEARCH("Bypass",$L45))),1.5,1)</f>
        <v>0</v>
      </c>
      <c r="AN45" s="17" cm="1">
        <f t="array" ref="AN45">$H45 *
IF(ISNUMBER(SEARCH("Rapid",$L45)),7/6,1) *
IF(OR(ISNUMBER(SEARCH("Beam",$L45)),ISNUMBER(SEARCH("Firestorm",$L45))),1, IF(ISNUMBER(SEARCH("Blast",$L45)),(4+$G45+(2-$G45)*0.5)/6*2,(4+$G45)/6)) *
_xlfn.IFS(AN$24-$I45 &lt;=1, 5/6, AN$24-$I45 &lt;=5, (7-(AN$24-$I45))/6, AND(AN$24-$I45 =6,NOT(_xlfn.IFNA(ISNUMBER(SEARCH("Rending",$L45)),FALSE))), (7-(AN$24-$I45))/6, AND(AN$24-$I45 &gt;=7,NOT(_xlfn.IFNA(ISNUMBER(SEARCH("Rending",$L45)),FALSE))), 0, AN$24-$I45 =7, (7-(AN$24-1-$I45))/6, AN$24-$I45 =8, (7-(AN$24-2-$I45))/6*2/3, AN$24-$I45 =9, (7-(AN$24-3-$I45))/6*1/3, TRUE, 0) *
IF(ISNUMBER(SEARCH("Ordinance",$L45)),7/6,1) *
IF(OR(ISNUMBER(SEARCH("Melee",$L45)),ISNUMBER(SEARCH("Bypass",$L45))),1.5,1)</f>
        <v>0</v>
      </c>
      <c r="AO45" s="17" cm="1">
        <f t="array" ref="AO45">$H45 *
IF(ISNUMBER(SEARCH("Rapid",$L45)),7/6,1) *
IF(OR(ISNUMBER(SEARCH("Beam",$L45)),ISNUMBER(SEARCH("Firestorm",$L45))),1, IF(ISNUMBER(SEARCH("Blast",$L45)),(4+$G45+(2-$G45)*0.5)/6*2,(4+$G45)/6)) *
_xlfn.IFS(AO$24-$I45 &lt;=1, 5/6, AO$24-$I45 &lt;=5, (7-(AO$24-$I45))/6, AND(AO$24-$I45 =6,NOT(_xlfn.IFNA(ISNUMBER(SEARCH("Rending",$L45)),FALSE))), (7-(AO$24-$I45))/6, AND(AO$24-$I45 &gt;=7,NOT(_xlfn.IFNA(ISNUMBER(SEARCH("Rending",$L45)),FALSE))), 0, AO$24-$I45 =7, (7-(AO$24-1-$I45))/6, AO$24-$I45 =8, (7-(AO$24-2-$I45))/6*2/3, AO$24-$I45 =9, (7-(AO$24-3-$I45))/6*1/3, TRUE, 0) *
IF(ISNUMBER(SEARCH("Ordinance",$L45)),7/6,1) *
IF(OR(ISNUMBER(SEARCH("Melee",$L45)),ISNUMBER(SEARCH("Bypass",$L45))),1.5,1)</f>
        <v>0</v>
      </c>
      <c r="AP45" s="17" cm="1">
        <f t="array" ref="AP45">$H45 *
IF(ISNUMBER(SEARCH("Rapid",$L45)),7/6,1) *
IF(OR(ISNUMBER(SEARCH("Beam",$L45)),ISNUMBER(SEARCH("Firestorm",$L45))),1, IF(ISNUMBER(SEARCH("Blast",$L45)),(4+$G45+(2-$G45)*0.5)/6*2,(4+$G45)/6)) *
_xlfn.IFS(AP$24-$I45 &lt;=1, 5/6, AP$24-$I45 &lt;=5, (7-(AP$24-$I45))/6, AND(AP$24-$I45 =6,NOT(_xlfn.IFNA(ISNUMBER(SEARCH("Rending",$L45)),FALSE))), (7-(AP$24-$I45))/6, AND(AP$24-$I45 &gt;=7,NOT(_xlfn.IFNA(ISNUMBER(SEARCH("Rending",$L45)),FALSE))), 0, AP$24-$I45 =7, (7-(AP$24-1-$I45))/6, AP$24-$I45 =8, (7-(AP$24-2-$I45))/6*2/3, AP$24-$I45 =9, (7-(AP$24-3-$I45))/6*1/3, TRUE, 0) *
IF(ISNUMBER(SEARCH("Ordinance",$L45)),7/6,1) *
IF(OR(ISNUMBER(SEARCH("Melee",$L45)),ISNUMBER(SEARCH("Bypass",$L45))),1.5,1)</f>
        <v>0</v>
      </c>
      <c r="AQ45" s="17" cm="1">
        <f t="array" ref="AQ45">$H45 *
IF(ISNUMBER(SEARCH("Rapid",$L45)),7/6,1) *
IF(OR(ISNUMBER(SEARCH("Beam",$L45)),ISNUMBER(SEARCH("Firestorm",$L45))),1, IF(ISNUMBER(SEARCH("Blast",$L45)),(4+$G45+(2-$G45)*0.5)/6*2,(4+$G45)/6)) *
_xlfn.IFS(AQ$24-$I45 &lt;=1, 5/6, AQ$24-$I45 &lt;=5, (7-(AQ$24-$I45))/6, AND(AQ$24-$I45 =6,NOT(_xlfn.IFNA(ISNUMBER(SEARCH("Rending",$L45)),FALSE))), (7-(AQ$24-$I45))/6, AND(AQ$24-$I45 &gt;=7,NOT(_xlfn.IFNA(ISNUMBER(SEARCH("Rending",$L45)),FALSE))), 0, AQ$24-$I45 =7, (7-(AQ$24-1-$I45))/6, AQ$24-$I45 =8, (7-(AQ$24-2-$I45))/6*2/3, AQ$24-$I45 =9, (7-(AQ$24-3-$I45))/6*1/3, TRUE, 0) *
IF(ISNUMBER(SEARCH("Ordinance",$L45)),7/6,1) *
IF(OR(ISNUMBER(SEARCH("Melee",$L45)),ISNUMBER(SEARCH("Bypass",$L45))),1.5,1)</f>
        <v>0</v>
      </c>
      <c r="AS45" s="16"/>
      <c r="AT45" s="16"/>
      <c r="AU45" s="16"/>
    </row>
    <row r="46" spans="1:48" x14ac:dyDescent="0.3">
      <c r="A46" s="6" t="s">
        <v>379</v>
      </c>
      <c r="V46" s="16">
        <f t="shared" si="1"/>
        <v>0</v>
      </c>
      <c r="W46" s="16">
        <f t="shared" si="2"/>
        <v>0</v>
      </c>
      <c r="X46" s="17" cm="1">
        <f t="array" ref="X46">$H46 *
IF(ISNUMBER(SEARCH("Rapid",$L46)),7/6,1) *
IF(OR(ISNUMBER(SEARCH("Beam",$L46)),ISNUMBER(SEARCH("Firestorm",$L46))),1, IF(ISNUMBER(SEARCH("Blast",$L46)),(4+$F46+(2-$F46)*0.5)/6*2,(4+$F46)/6)) *
IF(ISNUMBER(SEARCH("Fusion",$L46)), _xlfn.IFS(X$24-$I46 &lt;=1, 9/10, X$24-$I46 &lt;=10,(11-(X$24-$I46))/10, X$24-$I46 &gt;=11, 0),
_xlfn.IFS(X$24-$I46 &lt;=1, 5/6, X$24-$I46 &lt;=5, (7-(X$24-$I46))/6, AND(X$24-$I46 =6,NOT(_xlfn.IFNA(ISNUMBER(SEARCH("Rending",$L46)),FALSE))), (7-(X$24-$I46))/6, AND(X$24-$I46 &gt;=7,NOT(_xlfn.IFNA(ISNUMBER(SEARCH("Rending",$L46)),FALSE))), 0, X$24-$I46 =7, (7-(X$24-1-$I46))/6, X$24-$I46 =8, (7-(X$24-2-$I46))/6*2/3, X$24-$I46 =9, (7-(X$24-3-$I46))/6*1/3, TRUE, 0)) *
IF(ISNUMBER(SEARCH("Ordinance",$L46)),7/6,1) *
IF(OR(ISNUMBER(SEARCH("Melee",$L46)),ISNUMBER(SEARCH("Bypass",$L46))),1.5,1)</f>
        <v>0</v>
      </c>
      <c r="Y46" s="17" cm="1">
        <f t="array" ref="Y46">$H46 *
IF(ISNUMBER(SEARCH("Rapid",$L46)),7/6,1) *
IF(OR(ISNUMBER(SEARCH("Beam",$L46)),ISNUMBER(SEARCH("Firestorm",$L46))),1, IF(ISNUMBER(SEARCH("Blast",$L46)),(4+$F46+(2-$F46)*0.5)/6*2,(4+$F46)/6)) *
IF(ISNUMBER(SEARCH("Fusion",$L46)), _xlfn.IFS(Y$24-$I46 &lt;=1, 9/10, Y$24-$I46 &lt;=10,(11-(Y$24-$I46))/10, Y$24-$I46 &gt;=11, 0),
_xlfn.IFS(Y$24-$I46 &lt;=1, 5/6, Y$24-$I46 &lt;=5, (7-(Y$24-$I46))/6, AND(Y$24-$I46 =6,NOT(_xlfn.IFNA(ISNUMBER(SEARCH("Rending",$L46)),FALSE))), (7-(Y$24-$I46))/6, AND(Y$24-$I46 &gt;=7,NOT(_xlfn.IFNA(ISNUMBER(SEARCH("Rending",$L46)),FALSE))), 0, Y$24-$I46 =7, (7-(Y$24-1-$I46))/6, Y$24-$I46 =8, (7-(Y$24-2-$I46))/6*2/3, Y$24-$I46 =9, (7-(Y$24-3-$I46))/6*1/3, TRUE, 0)) *
IF(ISNUMBER(SEARCH("Ordinance",$L46)),7/6,1) *
IF(OR(ISNUMBER(SEARCH("Melee",$L46)),ISNUMBER(SEARCH("Bypass",$L46))),1.5,1)</f>
        <v>0</v>
      </c>
      <c r="Z46" s="17" cm="1">
        <f t="array" ref="Z46">$H46 *
IF(ISNUMBER(SEARCH("Rapid",$L46)),7/6,1) *
IF(OR(ISNUMBER(SEARCH("Beam",$L46)),ISNUMBER(SEARCH("Firestorm",$L46))),1, IF(ISNUMBER(SEARCH("Blast",$L46)),(4+$F46+(2-$F46)*0.5)/6*2,(4+$F46)/6)) *
IF(ISNUMBER(SEARCH("Fusion",$L46)), _xlfn.IFS(Z$24-$I46 &lt;=1, 9/10, Z$24-$I46 &lt;=10,(11-(Z$24-$I46))/10, Z$24-$I46 &gt;=11, 0),
_xlfn.IFS(Z$24-$I46 &lt;=1, 5/6, Z$24-$I46 &lt;=5, (7-(Z$24-$I46))/6, AND(Z$24-$I46 =6,NOT(_xlfn.IFNA(ISNUMBER(SEARCH("Rending",$L46)),FALSE))), (7-(Z$24-$I46))/6, AND(Z$24-$I46 &gt;=7,NOT(_xlfn.IFNA(ISNUMBER(SEARCH("Rending",$L46)),FALSE))), 0, Z$24-$I46 =7, (7-(Z$24-1-$I46))/6, Z$24-$I46 =8, (7-(Z$24-2-$I46))/6*2/3, Z$24-$I46 =9, (7-(Z$24-3-$I46))/6*1/3, TRUE, 0)) *
IF(ISNUMBER(SEARCH("Ordinance",$L46)),7/6,1) *
IF(OR(ISNUMBER(SEARCH("Melee",$L46)),ISNUMBER(SEARCH("Bypass",$L46))),1.5,1)</f>
        <v>0</v>
      </c>
      <c r="AA46" s="17" cm="1">
        <f t="array" ref="AA46">$H46 *
IF(ISNUMBER(SEARCH("Rapid",$L46)),7/6,1) *
IF(OR(ISNUMBER(SEARCH("Beam",$L46)),ISNUMBER(SEARCH("Firestorm",$L46))),1, IF(ISNUMBER(SEARCH("Blast",$L46)),(4+$F46+(2-$F46)*0.5)/6*2,(4+$F46)/6)) *
IF(ISNUMBER(SEARCH("Fusion",$L46)), _xlfn.IFS(AA$24-$I46 &lt;=1, 9/10, AA$24-$I46 &lt;=10,(11-(AA$24-$I46))/10, AA$24-$I46 &gt;=11, 0),
_xlfn.IFS(AA$24-$I46 &lt;=1, 5/6, AA$24-$I46 &lt;=5, (7-(AA$24-$I46))/6, AND(AA$24-$I46 =6,NOT(_xlfn.IFNA(ISNUMBER(SEARCH("Rending",$L46)),FALSE))), (7-(AA$24-$I46))/6, AND(AA$24-$I46 &gt;=7,NOT(_xlfn.IFNA(ISNUMBER(SEARCH("Rending",$L46)),FALSE))), 0, AA$24-$I46 =7, (7-(AA$24-1-$I46))/6, AA$24-$I46 =8, (7-(AA$24-2-$I46))/6*2/3, AA$24-$I46 =9, (7-(AA$24-3-$I46))/6*1/3, TRUE, 0)) *
IF(ISNUMBER(SEARCH("Ordinance",$L46)),7/6,1) *
IF(OR(ISNUMBER(SEARCH("Melee",$L46)),ISNUMBER(SEARCH("Bypass",$L46))),1.5,1)</f>
        <v>0</v>
      </c>
      <c r="AB46" s="17" cm="1">
        <f t="array" ref="AB46">$H46 *
IF(ISNUMBER(SEARCH("Rapid",$L46)),7/6,1) *
IF(OR(ISNUMBER(SEARCH("Beam",$L46)),ISNUMBER(SEARCH("Firestorm",$L46))),1, IF(ISNUMBER(SEARCH("Blast",$L46)),(4+$F46+(2-$F46)*0.5)/6*2,(4+$F46)/6)) *
IF(ISNUMBER(SEARCH("Fusion",$L46)), _xlfn.IFS(AB$24-$I46 &lt;=1, 9/10, AB$24-$I46 &lt;=10,(11-(AB$24-$I46))/10, AB$24-$I46 &gt;=11, 0),
_xlfn.IFS(AB$24-$I46 &lt;=1, 5/6, AB$24-$I46 &lt;=5, (7-(AB$24-$I46))/6, AND(AB$24-$I46 =6,NOT(_xlfn.IFNA(ISNUMBER(SEARCH("Rending",$L46)),FALSE))), (7-(AB$24-$I46))/6, AND(AB$24-$I46 &gt;=7,NOT(_xlfn.IFNA(ISNUMBER(SEARCH("Rending",$L46)),FALSE))), 0, AB$24-$I46 =7, (7-(AB$24-1-$I46))/6, AB$24-$I46 =8, (7-(AB$24-2-$I46))/6*2/3, AB$24-$I46 =9, (7-(AB$24-3-$I46))/6*1/3, TRUE, 0)) *
IF(ISNUMBER(SEARCH("Ordinance",$L46)),7/6,1) *
IF(OR(ISNUMBER(SEARCH("Melee",$L46)),ISNUMBER(SEARCH("Bypass",$L46))),1.5,1)</f>
        <v>0</v>
      </c>
      <c r="AC46" s="17" cm="1">
        <f t="array" ref="AC46">$H46 *
IF(ISNUMBER(SEARCH("Rapid",$L46)),7/6,1) *
IF(OR(ISNUMBER(SEARCH("Beam",$L46)),ISNUMBER(SEARCH("Firestorm",$L46))),1, IF(ISNUMBER(SEARCH("Blast",$L46)),(4+$F46+(2-$F46)*0.5)/6*2,(4+$F46)/6)) *
IF(ISNUMBER(SEARCH("Fusion",$L46)), _xlfn.IFS(AC$24-$I46 &lt;=1, 9/10, AC$24-$I46 &lt;=10,(11-(AC$24-$I46))/10, AC$24-$I46 &gt;=11, 0),
_xlfn.IFS(AC$24-$I46 &lt;=1, 5/6, AC$24-$I46 &lt;=5, (7-(AC$24-$I46))/6, AND(AC$24-$I46 =6,NOT(_xlfn.IFNA(ISNUMBER(SEARCH("Rending",$L46)),FALSE))), (7-(AC$24-$I46))/6, AND(AC$24-$I46 &gt;=7,NOT(_xlfn.IFNA(ISNUMBER(SEARCH("Rending",$L46)),FALSE))), 0, AC$24-$I46 =7, (7-(AC$24-1-$I46))/6, AC$24-$I46 =8, (7-(AC$24-2-$I46))/6*2/3, AC$24-$I46 =9, (7-(AC$24-3-$I46))/6*1/3, TRUE, 0)) *
IF(ISNUMBER(SEARCH("Ordinance",$L46)),7/6,1) *
IF(OR(ISNUMBER(SEARCH("Melee",$L46)),ISNUMBER(SEARCH("Bypass",$L46))),1.5,1)</f>
        <v>0</v>
      </c>
      <c r="AD46" s="17" cm="1">
        <f t="array" ref="AD46">$H46 *
IF(ISNUMBER(SEARCH("Rapid",$L46)),7/6,1) *
IF(OR(ISNUMBER(SEARCH("Beam",$L46)),ISNUMBER(SEARCH("Firestorm",$L46))),1, IF(ISNUMBER(SEARCH("Blast",$L46)),(4+$F46+(2-$F46)*0.5)/6*2,(4+$F46)/6)) *
IF(ISNUMBER(SEARCH("Fusion",$L46)), _xlfn.IFS(AD$24-$I46 &lt;=1, 9/10, AD$24-$I46 &lt;=10,(11-(AD$24-$I46))/10, AD$24-$I46 &gt;=11, 0),
_xlfn.IFS(AD$24-$I46 &lt;=1, 5/6, AD$24-$I46 &lt;=5, (7-(AD$24-$I46))/6, AND(AD$24-$I46 =6,NOT(_xlfn.IFNA(ISNUMBER(SEARCH("Rending",$L46)),FALSE))), (7-(AD$24-$I46))/6, AND(AD$24-$I46 &gt;=7,NOT(_xlfn.IFNA(ISNUMBER(SEARCH("Rending",$L46)),FALSE))), 0, AD$24-$I46 =7, (7-(AD$24-1-$I46))/6, AD$24-$I46 =8, (7-(AD$24-2-$I46))/6*2/3, AD$24-$I46 =9, (7-(AD$24-3-$I46))/6*1/3, TRUE, 0)) *
IF(ISNUMBER(SEARCH("Ordinance",$L46)),7/6,1) *
IF(OR(ISNUMBER(SEARCH("Melee",$L46)),ISNUMBER(SEARCH("Bypass",$L46))),1.5,1)</f>
        <v>0</v>
      </c>
      <c r="AE46" s="17" cm="1">
        <f t="array" ref="AE46">$H46 *
IF(ISNUMBER(SEARCH("Rapid",$L46)),7/6,1) *
IF(OR(ISNUMBER(SEARCH("Beam",$L46)),ISNUMBER(SEARCH("Firestorm",$L46))),1, IF(ISNUMBER(SEARCH("Blast",$L46)),(4+$F46+(2-$F46)*0.5)/6*2,(4+$F46)/6)) *
IF(ISNUMBER(SEARCH("Fusion",$L46)), _xlfn.IFS(AE$24-$I46 &lt;=1, 9/10, AE$24-$I46 &lt;=10,(11-(AE$24-$I46))/10, AE$24-$I46 &gt;=11, 0),
_xlfn.IFS(AE$24-$I46 &lt;=1, 5/6, AE$24-$I46 &lt;=5, (7-(AE$24-$I46))/6, AND(AE$24-$I46 =6,NOT(_xlfn.IFNA(ISNUMBER(SEARCH("Rending",$L46)),FALSE))), (7-(AE$24-$I46))/6, AND(AE$24-$I46 &gt;=7,NOT(_xlfn.IFNA(ISNUMBER(SEARCH("Rending",$L46)),FALSE))), 0, AE$24-$I46 =7, (7-(AE$24-1-$I46))/6, AE$24-$I46 =8, (7-(AE$24-2-$I46))/6*2/3, AE$24-$I46 =9, (7-(AE$24-3-$I46))/6*1/3, TRUE, 0)) *
IF(ISNUMBER(SEARCH("Ordinance",$L46)),7/6,1) *
IF(OR(ISNUMBER(SEARCH("Melee",$L46)),ISNUMBER(SEARCH("Bypass",$L46))),1.5,1)</f>
        <v>0</v>
      </c>
      <c r="AF46" s="17" cm="1">
        <f t="array" ref="AF46">$H46 *
IF(ISNUMBER(SEARCH("Rapid",$L46)),7/6,1) *
IF(OR(ISNUMBER(SEARCH("Beam",$L46)),ISNUMBER(SEARCH("Firestorm",$L46))),1, IF(ISNUMBER(SEARCH("Blast",$L46)),(4+$F46+(2-$F46)*0.5)/6*2,(4+$F46)/6)) *
IF(ISNUMBER(SEARCH("Fusion",$L46)), _xlfn.IFS(AF$24-$I46 &lt;=1, 9/10, AF$24-$I46 &lt;=10,(11-(AF$24-$I46))/10, AF$24-$I46 &gt;=11, 0),
_xlfn.IFS(AF$24-$I46 &lt;=1, 5/6, AF$24-$I46 &lt;=5, (7-(AF$24-$I46))/6, AND(AF$24-$I46 =6,NOT(_xlfn.IFNA(ISNUMBER(SEARCH("Rending",$L46)),FALSE))), (7-(AF$24-$I46))/6, AND(AF$24-$I46 &gt;=7,NOT(_xlfn.IFNA(ISNUMBER(SEARCH("Rending",$L46)),FALSE))), 0, AF$24-$I46 =7, (7-(AF$24-1-$I46))/6, AF$24-$I46 =8, (7-(AF$24-2-$I46))/6*2/3, AF$24-$I46 =9, (7-(AF$24-3-$I46))/6*1/3, TRUE, 0)) *
IF(ISNUMBER(SEARCH("Ordinance",$L46)),7/6,1) *
IF(OR(ISNUMBER(SEARCH("Melee",$L46)),ISNUMBER(SEARCH("Bypass",$L46))),1.5,1)</f>
        <v>0</v>
      </c>
      <c r="AG46" s="16">
        <f t="shared" si="3"/>
        <v>0</v>
      </c>
      <c r="AH46" s="16">
        <f t="shared" si="4"/>
        <v>0</v>
      </c>
      <c r="AI46" s="17" cm="1">
        <f t="array" ref="AI46">$H46 *
IF(ISNUMBER(SEARCH("Rapid",$L46)),7/6,1) *
IF(OR(ISNUMBER(SEARCH("Beam",$L46)),ISNUMBER(SEARCH("Firestorm",$L46))),1, IF(ISNUMBER(SEARCH("Blast",$L46)),(4+$G46+(2-$G46)*0.5)/6*2,(4+$G46)/6)) *
_xlfn.IFS(AI$24-$I46 &lt;=1, 5/6, AI$24-$I46 &lt;=5, (7-(AI$24-$I46))/6, AND(AI$24-$I46 =6,NOT(_xlfn.IFNA(ISNUMBER(SEARCH("Rending",$L46)),FALSE))), (7-(AI$24-$I46))/6, AND(AI$24-$I46 &gt;=7,NOT(_xlfn.IFNA(ISNUMBER(SEARCH("Rending",$L46)),FALSE))), 0, AI$24-$I46 =7, (7-(AI$24-1-$I46))/6, AI$24-$I46 =8, (7-(AI$24-2-$I46))/6*2/3, AI$24-$I46 =9, (7-(AI$24-3-$I46))/6*1/3, TRUE, 0) *
IF(ISNUMBER(SEARCH("Ordinance",$L46)),7/6,1) *
IF(OR(ISNUMBER(SEARCH("Melee",$L46)),ISNUMBER(SEARCH("Bypass",$L46))),1.5,1)</f>
        <v>0</v>
      </c>
      <c r="AJ46" s="17" cm="1">
        <f t="array" ref="AJ46">$H46 *
IF(ISNUMBER(SEARCH("Rapid",$L46)),7/6,1) *
IF(OR(ISNUMBER(SEARCH("Beam",$L46)),ISNUMBER(SEARCH("Firestorm",$L46))),1, IF(ISNUMBER(SEARCH("Blast",$L46)),(4+$G46+(2-$G46)*0.5)/6*2,(4+$G46)/6)) *
_xlfn.IFS(AJ$24-$I46 &lt;=1, 5/6, AJ$24-$I46 &lt;=5, (7-(AJ$24-$I46))/6, AND(AJ$24-$I46 =6,NOT(_xlfn.IFNA(ISNUMBER(SEARCH("Rending",$L46)),FALSE))), (7-(AJ$24-$I46))/6, AND(AJ$24-$I46 &gt;=7,NOT(_xlfn.IFNA(ISNUMBER(SEARCH("Rending",$L46)),FALSE))), 0, AJ$24-$I46 =7, (7-(AJ$24-1-$I46))/6, AJ$24-$I46 =8, (7-(AJ$24-2-$I46))/6*2/3, AJ$24-$I46 =9, (7-(AJ$24-3-$I46))/6*1/3, TRUE, 0) *
IF(ISNUMBER(SEARCH("Ordinance",$L46)),7/6,1) *
IF(OR(ISNUMBER(SEARCH("Melee",$L46)),ISNUMBER(SEARCH("Bypass",$L46))),1.5,1)</f>
        <v>0</v>
      </c>
      <c r="AK46" s="17" cm="1">
        <f t="array" ref="AK46">$H46 *
IF(ISNUMBER(SEARCH("Rapid",$L46)),7/6,1) *
IF(OR(ISNUMBER(SEARCH("Beam",$L46)),ISNUMBER(SEARCH("Firestorm",$L46))),1, IF(ISNUMBER(SEARCH("Blast",$L46)),(4+$G46+(2-$G46)*0.5)/6*2,(4+$G46)/6)) *
_xlfn.IFS(AK$24-$I46 &lt;=1, 5/6, AK$24-$I46 &lt;=5, (7-(AK$24-$I46))/6, AND(AK$24-$I46 =6,NOT(_xlfn.IFNA(ISNUMBER(SEARCH("Rending",$L46)),FALSE))), (7-(AK$24-$I46))/6, AND(AK$24-$I46 &gt;=7,NOT(_xlfn.IFNA(ISNUMBER(SEARCH("Rending",$L46)),FALSE))), 0, AK$24-$I46 =7, (7-(AK$24-1-$I46))/6, AK$24-$I46 =8, (7-(AK$24-2-$I46))/6*2/3, AK$24-$I46 =9, (7-(AK$24-3-$I46))/6*1/3, TRUE, 0) *
IF(ISNUMBER(SEARCH("Ordinance",$L46)),7/6,1) *
IF(OR(ISNUMBER(SEARCH("Melee",$L46)),ISNUMBER(SEARCH("Bypass",$L46))),1.5,1)</f>
        <v>0</v>
      </c>
      <c r="AL46" s="17" cm="1">
        <f t="array" ref="AL46">$H46 *
IF(ISNUMBER(SEARCH("Rapid",$L46)),7/6,1) *
IF(OR(ISNUMBER(SEARCH("Beam",$L46)),ISNUMBER(SEARCH("Firestorm",$L46))),1, IF(ISNUMBER(SEARCH("Blast",$L46)),(4+$G46+(2-$G46)*0.5)/6*2,(4+$G46)/6)) *
_xlfn.IFS(AL$24-$I46 &lt;=1, 5/6, AL$24-$I46 &lt;=5, (7-(AL$24-$I46))/6, AND(AL$24-$I46 =6,NOT(_xlfn.IFNA(ISNUMBER(SEARCH("Rending",$L46)),FALSE))), (7-(AL$24-$I46))/6, AND(AL$24-$I46 &gt;=7,NOT(_xlfn.IFNA(ISNUMBER(SEARCH("Rending",$L46)),FALSE))), 0, AL$24-$I46 =7, (7-(AL$24-1-$I46))/6, AL$24-$I46 =8, (7-(AL$24-2-$I46))/6*2/3, AL$24-$I46 =9, (7-(AL$24-3-$I46))/6*1/3, TRUE, 0) *
IF(ISNUMBER(SEARCH("Ordinance",$L46)),7/6,1) *
IF(OR(ISNUMBER(SEARCH("Melee",$L46)),ISNUMBER(SEARCH("Bypass",$L46))),1.5,1)</f>
        <v>0</v>
      </c>
      <c r="AM46" s="17" cm="1">
        <f t="array" ref="AM46">$H46 *
IF(ISNUMBER(SEARCH("Rapid",$L46)),7/6,1) *
IF(OR(ISNUMBER(SEARCH("Beam",$L46)),ISNUMBER(SEARCH("Firestorm",$L46))),1, IF(ISNUMBER(SEARCH("Blast",$L46)),(4+$G46+(2-$G46)*0.5)/6*2,(4+$G46)/6)) *
_xlfn.IFS(AM$24-$I46 &lt;=1, 5/6, AM$24-$I46 &lt;=5, (7-(AM$24-$I46))/6, AND(AM$24-$I46 =6,NOT(_xlfn.IFNA(ISNUMBER(SEARCH("Rending",$L46)),FALSE))), (7-(AM$24-$I46))/6, AND(AM$24-$I46 &gt;=7,NOT(_xlfn.IFNA(ISNUMBER(SEARCH("Rending",$L46)),FALSE))), 0, AM$24-$I46 =7, (7-(AM$24-1-$I46))/6, AM$24-$I46 =8, (7-(AM$24-2-$I46))/6*2/3, AM$24-$I46 =9, (7-(AM$24-3-$I46))/6*1/3, TRUE, 0) *
IF(ISNUMBER(SEARCH("Ordinance",$L46)),7/6,1) *
IF(OR(ISNUMBER(SEARCH("Melee",$L46)),ISNUMBER(SEARCH("Bypass",$L46))),1.5,1)</f>
        <v>0</v>
      </c>
      <c r="AN46" s="17" cm="1">
        <f t="array" ref="AN46">$H46 *
IF(ISNUMBER(SEARCH("Rapid",$L46)),7/6,1) *
IF(OR(ISNUMBER(SEARCH("Beam",$L46)),ISNUMBER(SEARCH("Firestorm",$L46))),1, IF(ISNUMBER(SEARCH("Blast",$L46)),(4+$G46+(2-$G46)*0.5)/6*2,(4+$G46)/6)) *
_xlfn.IFS(AN$24-$I46 &lt;=1, 5/6, AN$24-$I46 &lt;=5, (7-(AN$24-$I46))/6, AND(AN$24-$I46 =6,NOT(_xlfn.IFNA(ISNUMBER(SEARCH("Rending",$L46)),FALSE))), (7-(AN$24-$I46))/6, AND(AN$24-$I46 &gt;=7,NOT(_xlfn.IFNA(ISNUMBER(SEARCH("Rending",$L46)),FALSE))), 0, AN$24-$I46 =7, (7-(AN$24-1-$I46))/6, AN$24-$I46 =8, (7-(AN$24-2-$I46))/6*2/3, AN$24-$I46 =9, (7-(AN$24-3-$I46))/6*1/3, TRUE, 0) *
IF(ISNUMBER(SEARCH("Ordinance",$L46)),7/6,1) *
IF(OR(ISNUMBER(SEARCH("Melee",$L46)),ISNUMBER(SEARCH("Bypass",$L46))),1.5,1)</f>
        <v>0</v>
      </c>
      <c r="AO46" s="17" cm="1">
        <f t="array" ref="AO46">$H46 *
IF(ISNUMBER(SEARCH("Rapid",$L46)),7/6,1) *
IF(OR(ISNUMBER(SEARCH("Beam",$L46)),ISNUMBER(SEARCH("Firestorm",$L46))),1, IF(ISNUMBER(SEARCH("Blast",$L46)),(4+$G46+(2-$G46)*0.5)/6*2,(4+$G46)/6)) *
_xlfn.IFS(AO$24-$I46 &lt;=1, 5/6, AO$24-$I46 &lt;=5, (7-(AO$24-$I46))/6, AND(AO$24-$I46 =6,NOT(_xlfn.IFNA(ISNUMBER(SEARCH("Rending",$L46)),FALSE))), (7-(AO$24-$I46))/6, AND(AO$24-$I46 &gt;=7,NOT(_xlfn.IFNA(ISNUMBER(SEARCH("Rending",$L46)),FALSE))), 0, AO$24-$I46 =7, (7-(AO$24-1-$I46))/6, AO$24-$I46 =8, (7-(AO$24-2-$I46))/6*2/3, AO$24-$I46 =9, (7-(AO$24-3-$I46))/6*1/3, TRUE, 0) *
IF(ISNUMBER(SEARCH("Ordinance",$L46)),7/6,1) *
IF(OR(ISNUMBER(SEARCH("Melee",$L46)),ISNUMBER(SEARCH("Bypass",$L46))),1.5,1)</f>
        <v>0</v>
      </c>
      <c r="AP46" s="17" cm="1">
        <f t="array" ref="AP46">$H46 *
IF(ISNUMBER(SEARCH("Rapid",$L46)),7/6,1) *
IF(OR(ISNUMBER(SEARCH("Beam",$L46)),ISNUMBER(SEARCH("Firestorm",$L46))),1, IF(ISNUMBER(SEARCH("Blast",$L46)),(4+$G46+(2-$G46)*0.5)/6*2,(4+$G46)/6)) *
_xlfn.IFS(AP$24-$I46 &lt;=1, 5/6, AP$24-$I46 &lt;=5, (7-(AP$24-$I46))/6, AND(AP$24-$I46 =6,NOT(_xlfn.IFNA(ISNUMBER(SEARCH("Rending",$L46)),FALSE))), (7-(AP$24-$I46))/6, AND(AP$24-$I46 &gt;=7,NOT(_xlfn.IFNA(ISNUMBER(SEARCH("Rending",$L46)),FALSE))), 0, AP$24-$I46 =7, (7-(AP$24-1-$I46))/6, AP$24-$I46 =8, (7-(AP$24-2-$I46))/6*2/3, AP$24-$I46 =9, (7-(AP$24-3-$I46))/6*1/3, TRUE, 0) *
IF(ISNUMBER(SEARCH("Ordinance",$L46)),7/6,1) *
IF(OR(ISNUMBER(SEARCH("Melee",$L46)),ISNUMBER(SEARCH("Bypass",$L46))),1.5,1)</f>
        <v>0</v>
      </c>
      <c r="AQ46" s="17" cm="1">
        <f t="array" ref="AQ46">$H46 *
IF(ISNUMBER(SEARCH("Rapid",$L46)),7/6,1) *
IF(OR(ISNUMBER(SEARCH("Beam",$L46)),ISNUMBER(SEARCH("Firestorm",$L46))),1, IF(ISNUMBER(SEARCH("Blast",$L46)),(4+$G46+(2-$G46)*0.5)/6*2,(4+$G46)/6)) *
_xlfn.IFS(AQ$24-$I46 &lt;=1, 5/6, AQ$24-$I46 &lt;=5, (7-(AQ$24-$I46))/6, AND(AQ$24-$I46 =6,NOT(_xlfn.IFNA(ISNUMBER(SEARCH("Rending",$L46)),FALSE))), (7-(AQ$24-$I46))/6, AND(AQ$24-$I46 &gt;=7,NOT(_xlfn.IFNA(ISNUMBER(SEARCH("Rending",$L46)),FALSE))), 0, AQ$24-$I46 =7, (7-(AQ$24-1-$I46))/6, AQ$24-$I46 =8, (7-(AQ$24-2-$I46))/6*2/3, AQ$24-$I46 =9, (7-(AQ$24-3-$I46))/6*1/3, TRUE, 0) *
IF(ISNUMBER(SEARCH("Ordinance",$L46)),7/6,1) *
IF(OR(ISNUMBER(SEARCH("Melee",$L46)),ISNUMBER(SEARCH("Bypass",$L46))),1.5,1)</f>
        <v>0</v>
      </c>
    </row>
    <row r="47" spans="1:48" x14ac:dyDescent="0.3">
      <c r="A47" t="s">
        <v>380</v>
      </c>
      <c r="B47" s="3">
        <v>10</v>
      </c>
      <c r="C47" s="3">
        <v>20</v>
      </c>
      <c r="D47" s="3">
        <v>1</v>
      </c>
      <c r="E47" s="3">
        <v>1</v>
      </c>
      <c r="H47" s="3">
        <v>6</v>
      </c>
      <c r="I47" s="3">
        <v>4</v>
      </c>
      <c r="J47" s="3" t="s">
        <v>451</v>
      </c>
      <c r="K47" s="3">
        <v>10</v>
      </c>
      <c r="L47" s="3" t="s">
        <v>452</v>
      </c>
      <c r="M47" s="3" t="s">
        <v>199</v>
      </c>
      <c r="N47" s="3">
        <v>9</v>
      </c>
      <c r="O47" s="52">
        <v>9</v>
      </c>
      <c r="P47" s="52">
        <v>13</v>
      </c>
      <c r="Q47" s="52" t="s">
        <v>200</v>
      </c>
      <c r="R47" s="52">
        <v>7</v>
      </c>
      <c r="S47" s="52">
        <v>9</v>
      </c>
      <c r="T47" s="52">
        <v>3</v>
      </c>
      <c r="V47" s="16">
        <f t="shared" si="1"/>
        <v>1.5555555555555554</v>
      </c>
      <c r="W47" s="16">
        <f t="shared" si="2"/>
        <v>2.333333333333333</v>
      </c>
      <c r="X47" s="17" cm="1">
        <f t="array" ref="X47">$H47 *
IF(ISNUMBER(SEARCH("Rapid",$L47)),7/6,1) *
IF(OR(ISNUMBER(SEARCH("Beam",$L47)),ISNUMBER(SEARCH("Firestorm",$L47))),1, IF(ISNUMBER(SEARCH("Blast",$L47)),(4+$F47+(2-$F47)*0.5)/6*2,(4+$F47)/6)) *
IF(ISNUMBER(SEARCH("Fusion",$L47)), _xlfn.IFS(X$24-$I47 &lt;=1, 9/10, X$24-$I47 &lt;=10,(11-(X$24-$I47))/10, X$24-$I47 &gt;=11, 0),
_xlfn.IFS(X$24-$I47 &lt;=1, 5/6, X$24-$I47 &lt;=5, (7-(X$24-$I47))/6, AND(X$24-$I47 =6,NOT(_xlfn.IFNA(ISNUMBER(SEARCH("Rending",$L47)),FALSE))), (7-(X$24-$I47))/6, AND(X$24-$I47 &gt;=7,NOT(_xlfn.IFNA(ISNUMBER(SEARCH("Rending",$L47)),FALSE))), 0, X$24-$I47 =7, (7-(X$24-1-$I47))/6, X$24-$I47 =8, (7-(X$24-2-$I47))/6*2/3, X$24-$I47 =9, (7-(X$24-3-$I47))/6*1/3, TRUE, 0)) *
IF(ISNUMBER(SEARCH("Ordinance",$L47)),7/6,1) *
IF(OR(ISNUMBER(SEARCH("Melee",$L47)),ISNUMBER(SEARCH("Bypass",$L47))),1.5,1)</f>
        <v>1.5555555555555554</v>
      </c>
      <c r="Y47" s="17" cm="1">
        <f t="array" ref="Y47">$H47 *
IF(ISNUMBER(SEARCH("Rapid",$L47)),7/6,1) *
IF(OR(ISNUMBER(SEARCH("Beam",$L47)),ISNUMBER(SEARCH("Firestorm",$L47))),1, IF(ISNUMBER(SEARCH("Blast",$L47)),(4+$F47+(2-$F47)*0.5)/6*2,(4+$F47)/6)) *
IF(ISNUMBER(SEARCH("Fusion",$L47)), _xlfn.IFS(Y$24-$I47 &lt;=1, 9/10, Y$24-$I47 &lt;=10,(11-(Y$24-$I47))/10, Y$24-$I47 &gt;=11, 0),
_xlfn.IFS(Y$24-$I47 &lt;=1, 5/6, Y$24-$I47 &lt;=5, (7-(Y$24-$I47))/6, AND(Y$24-$I47 =6,NOT(_xlfn.IFNA(ISNUMBER(SEARCH("Rending",$L47)),FALSE))), (7-(Y$24-$I47))/6, AND(Y$24-$I47 &gt;=7,NOT(_xlfn.IFNA(ISNUMBER(SEARCH("Rending",$L47)),FALSE))), 0, Y$24-$I47 =7, (7-(Y$24-1-$I47))/6, Y$24-$I47 =8, (7-(Y$24-2-$I47))/6*2/3, Y$24-$I47 =9, (7-(Y$24-3-$I47))/6*1/3, TRUE, 0)) *
IF(ISNUMBER(SEARCH("Ordinance",$L47)),7/6,1) *
IF(OR(ISNUMBER(SEARCH("Melee",$L47)),ISNUMBER(SEARCH("Bypass",$L47))),1.5,1)</f>
        <v>0.77777777777777768</v>
      </c>
      <c r="Z47" s="17" cm="1">
        <f t="array" ref="Z47">$H47 *
IF(ISNUMBER(SEARCH("Rapid",$L47)),7/6,1) *
IF(OR(ISNUMBER(SEARCH("Beam",$L47)),ISNUMBER(SEARCH("Firestorm",$L47))),1, IF(ISNUMBER(SEARCH("Blast",$L47)),(4+$F47+(2-$F47)*0.5)/6*2,(4+$F47)/6)) *
IF(ISNUMBER(SEARCH("Fusion",$L47)), _xlfn.IFS(Z$24-$I47 &lt;=1, 9/10, Z$24-$I47 &lt;=10,(11-(Z$24-$I47))/10, Z$24-$I47 &gt;=11, 0),
_xlfn.IFS(Z$24-$I47 &lt;=1, 5/6, Z$24-$I47 &lt;=5, (7-(Z$24-$I47))/6, AND(Z$24-$I47 =6,NOT(_xlfn.IFNA(ISNUMBER(SEARCH("Rending",$L47)),FALSE))), (7-(Z$24-$I47))/6, AND(Z$24-$I47 &gt;=7,NOT(_xlfn.IFNA(ISNUMBER(SEARCH("Rending",$L47)),FALSE))), 0, Z$24-$I47 =7, (7-(Z$24-1-$I47))/6, Z$24-$I47 =8, (7-(Z$24-2-$I47))/6*2/3, Z$24-$I47 =9, (7-(Z$24-3-$I47))/6*1/3, TRUE, 0)) *
IF(ISNUMBER(SEARCH("Ordinance",$L47)),7/6,1) *
IF(OR(ISNUMBER(SEARCH("Melee",$L47)),ISNUMBER(SEARCH("Bypass",$L47))),1.5,1)</f>
        <v>0</v>
      </c>
      <c r="AA47" s="17" cm="1">
        <f t="array" ref="AA47">$H47 *
IF(ISNUMBER(SEARCH("Rapid",$L47)),7/6,1) *
IF(OR(ISNUMBER(SEARCH("Beam",$L47)),ISNUMBER(SEARCH("Firestorm",$L47))),1, IF(ISNUMBER(SEARCH("Blast",$L47)),(4+$F47+(2-$F47)*0.5)/6*2,(4+$F47)/6)) *
IF(ISNUMBER(SEARCH("Fusion",$L47)), _xlfn.IFS(AA$24-$I47 &lt;=1, 9/10, AA$24-$I47 &lt;=10,(11-(AA$24-$I47))/10, AA$24-$I47 &gt;=11, 0),
_xlfn.IFS(AA$24-$I47 &lt;=1, 5/6, AA$24-$I47 &lt;=5, (7-(AA$24-$I47))/6, AND(AA$24-$I47 =6,NOT(_xlfn.IFNA(ISNUMBER(SEARCH("Rending",$L47)),FALSE))), (7-(AA$24-$I47))/6, AND(AA$24-$I47 &gt;=7,NOT(_xlfn.IFNA(ISNUMBER(SEARCH("Rending",$L47)),FALSE))), 0, AA$24-$I47 =7, (7-(AA$24-1-$I47))/6, AA$24-$I47 =8, (7-(AA$24-2-$I47))/6*2/3, AA$24-$I47 =9, (7-(AA$24-3-$I47))/6*1/3, TRUE, 0)) *
IF(ISNUMBER(SEARCH("Ordinance",$L47)),7/6,1) *
IF(OR(ISNUMBER(SEARCH("Melee",$L47)),ISNUMBER(SEARCH("Bypass",$L47))),1.5,1)</f>
        <v>0</v>
      </c>
      <c r="AB47" s="17" cm="1">
        <f t="array" ref="AB47">$H47 *
IF(ISNUMBER(SEARCH("Rapid",$L47)),7/6,1) *
IF(OR(ISNUMBER(SEARCH("Beam",$L47)),ISNUMBER(SEARCH("Firestorm",$L47))),1, IF(ISNUMBER(SEARCH("Blast",$L47)),(4+$F47+(2-$F47)*0.5)/6*2,(4+$F47)/6)) *
IF(ISNUMBER(SEARCH("Fusion",$L47)), _xlfn.IFS(AB$24-$I47 &lt;=1, 9/10, AB$24-$I47 &lt;=10,(11-(AB$24-$I47))/10, AB$24-$I47 &gt;=11, 0),
_xlfn.IFS(AB$24-$I47 &lt;=1, 5/6, AB$24-$I47 &lt;=5, (7-(AB$24-$I47))/6, AND(AB$24-$I47 =6,NOT(_xlfn.IFNA(ISNUMBER(SEARCH("Rending",$L47)),FALSE))), (7-(AB$24-$I47))/6, AND(AB$24-$I47 &gt;=7,NOT(_xlfn.IFNA(ISNUMBER(SEARCH("Rending",$L47)),FALSE))), 0, AB$24-$I47 =7, (7-(AB$24-1-$I47))/6, AB$24-$I47 =8, (7-(AB$24-2-$I47))/6*2/3, AB$24-$I47 =9, (7-(AB$24-3-$I47))/6*1/3, TRUE, 0)) *
IF(ISNUMBER(SEARCH("Ordinance",$L47)),7/6,1) *
IF(OR(ISNUMBER(SEARCH("Melee",$L47)),ISNUMBER(SEARCH("Bypass",$L47))),1.5,1)</f>
        <v>0</v>
      </c>
      <c r="AC47" s="17" cm="1">
        <f t="array" ref="AC47">$H47 *
IF(ISNUMBER(SEARCH("Rapid",$L47)),7/6,1) *
IF(OR(ISNUMBER(SEARCH("Beam",$L47)),ISNUMBER(SEARCH("Firestorm",$L47))),1, IF(ISNUMBER(SEARCH("Blast",$L47)),(4+$F47+(2-$F47)*0.5)/6*2,(4+$F47)/6)) *
IF(ISNUMBER(SEARCH("Fusion",$L47)), _xlfn.IFS(AC$24-$I47 &lt;=1, 9/10, AC$24-$I47 &lt;=10,(11-(AC$24-$I47))/10, AC$24-$I47 &gt;=11, 0),
_xlfn.IFS(AC$24-$I47 &lt;=1, 5/6, AC$24-$I47 &lt;=5, (7-(AC$24-$I47))/6, AND(AC$24-$I47 =6,NOT(_xlfn.IFNA(ISNUMBER(SEARCH("Rending",$L47)),FALSE))), (7-(AC$24-$I47))/6, AND(AC$24-$I47 &gt;=7,NOT(_xlfn.IFNA(ISNUMBER(SEARCH("Rending",$L47)),FALSE))), 0, AC$24-$I47 =7, (7-(AC$24-1-$I47))/6, AC$24-$I47 =8, (7-(AC$24-2-$I47))/6*2/3, AC$24-$I47 =9, (7-(AC$24-3-$I47))/6*1/3, TRUE, 0)) *
IF(ISNUMBER(SEARCH("Ordinance",$L47)),7/6,1) *
IF(OR(ISNUMBER(SEARCH("Melee",$L47)),ISNUMBER(SEARCH("Bypass",$L47))),1.5,1)</f>
        <v>0</v>
      </c>
      <c r="AD47" s="17" cm="1">
        <f t="array" ref="AD47">$H47 *
IF(ISNUMBER(SEARCH("Rapid",$L47)),7/6,1) *
IF(OR(ISNUMBER(SEARCH("Beam",$L47)),ISNUMBER(SEARCH("Firestorm",$L47))),1, IF(ISNUMBER(SEARCH("Blast",$L47)),(4+$F47+(2-$F47)*0.5)/6*2,(4+$F47)/6)) *
IF(ISNUMBER(SEARCH("Fusion",$L47)), _xlfn.IFS(AD$24-$I47 &lt;=1, 9/10, AD$24-$I47 &lt;=10,(11-(AD$24-$I47))/10, AD$24-$I47 &gt;=11, 0),
_xlfn.IFS(AD$24-$I47 &lt;=1, 5/6, AD$24-$I47 &lt;=5, (7-(AD$24-$I47))/6, AND(AD$24-$I47 =6,NOT(_xlfn.IFNA(ISNUMBER(SEARCH("Rending",$L47)),FALSE))), (7-(AD$24-$I47))/6, AND(AD$24-$I47 &gt;=7,NOT(_xlfn.IFNA(ISNUMBER(SEARCH("Rending",$L47)),FALSE))), 0, AD$24-$I47 =7, (7-(AD$24-1-$I47))/6, AD$24-$I47 =8, (7-(AD$24-2-$I47))/6*2/3, AD$24-$I47 =9, (7-(AD$24-3-$I47))/6*1/3, TRUE, 0)) *
IF(ISNUMBER(SEARCH("Ordinance",$L47)),7/6,1) *
IF(OR(ISNUMBER(SEARCH("Melee",$L47)),ISNUMBER(SEARCH("Bypass",$L47))),1.5,1)</f>
        <v>0</v>
      </c>
      <c r="AE47" s="17" cm="1">
        <f t="array" ref="AE47">$H47 *
IF(ISNUMBER(SEARCH("Rapid",$L47)),7/6,1) *
IF(OR(ISNUMBER(SEARCH("Beam",$L47)),ISNUMBER(SEARCH("Firestorm",$L47))),1, IF(ISNUMBER(SEARCH("Blast",$L47)),(4+$F47+(2-$F47)*0.5)/6*2,(4+$F47)/6)) *
IF(ISNUMBER(SEARCH("Fusion",$L47)), _xlfn.IFS(AE$24-$I47 &lt;=1, 9/10, AE$24-$I47 &lt;=10,(11-(AE$24-$I47))/10, AE$24-$I47 &gt;=11, 0),
_xlfn.IFS(AE$24-$I47 &lt;=1, 5/6, AE$24-$I47 &lt;=5, (7-(AE$24-$I47))/6, AND(AE$24-$I47 =6,NOT(_xlfn.IFNA(ISNUMBER(SEARCH("Rending",$L47)),FALSE))), (7-(AE$24-$I47))/6, AND(AE$24-$I47 &gt;=7,NOT(_xlfn.IFNA(ISNUMBER(SEARCH("Rending",$L47)),FALSE))), 0, AE$24-$I47 =7, (7-(AE$24-1-$I47))/6, AE$24-$I47 =8, (7-(AE$24-2-$I47))/6*2/3, AE$24-$I47 =9, (7-(AE$24-3-$I47))/6*1/3, TRUE, 0)) *
IF(ISNUMBER(SEARCH("Ordinance",$L47)),7/6,1) *
IF(OR(ISNUMBER(SEARCH("Melee",$L47)),ISNUMBER(SEARCH("Bypass",$L47))),1.5,1)</f>
        <v>0</v>
      </c>
      <c r="AF47" s="17" cm="1">
        <f t="array" ref="AF47">$H47 *
IF(ISNUMBER(SEARCH("Rapid",$L47)),7/6,1) *
IF(OR(ISNUMBER(SEARCH("Beam",$L47)),ISNUMBER(SEARCH("Firestorm",$L47))),1, IF(ISNUMBER(SEARCH("Blast",$L47)),(4+$F47+(2-$F47)*0.5)/6*2,(4+$F47)/6)) *
IF(ISNUMBER(SEARCH("Fusion",$L47)), _xlfn.IFS(AF$24-$I47 &lt;=1, 9/10, AF$24-$I47 &lt;=10,(11-(AF$24-$I47))/10, AF$24-$I47 &gt;=11, 0),
_xlfn.IFS(AF$24-$I47 &lt;=1, 5/6, AF$24-$I47 &lt;=5, (7-(AF$24-$I47))/6, AND(AF$24-$I47 =6,NOT(_xlfn.IFNA(ISNUMBER(SEARCH("Rending",$L47)),FALSE))), (7-(AF$24-$I47))/6, AND(AF$24-$I47 &gt;=7,NOT(_xlfn.IFNA(ISNUMBER(SEARCH("Rending",$L47)),FALSE))), 0, AF$24-$I47 =7, (7-(AF$24-1-$I47))/6, AF$24-$I47 =8, (7-(AF$24-2-$I47))/6*2/3, AF$24-$I47 =9, (7-(AF$24-3-$I47))/6*1/3, TRUE, 0)) *
IF(ISNUMBER(SEARCH("Ordinance",$L47)),7/6,1) *
IF(OR(ISNUMBER(SEARCH("Melee",$L47)),ISNUMBER(SEARCH("Bypass",$L47))),1.5,1)</f>
        <v>0</v>
      </c>
      <c r="AG47" s="16">
        <f t="shared" si="3"/>
        <v>1.5555555555555554</v>
      </c>
      <c r="AH47" s="16">
        <f t="shared" si="4"/>
        <v>2.333333333333333</v>
      </c>
      <c r="AI47" s="17" cm="1">
        <f t="array" ref="AI47">$H47 *
IF(ISNUMBER(SEARCH("Rapid",$L47)),7/6,1) *
IF(OR(ISNUMBER(SEARCH("Beam",$L47)),ISNUMBER(SEARCH("Firestorm",$L47))),1, IF(ISNUMBER(SEARCH("Blast",$L47)),(4+$G47+(2-$G47)*0.5)/6*2,(4+$G47)/6)) *
_xlfn.IFS(AI$24-$I47 &lt;=1, 5/6, AI$24-$I47 &lt;=5, (7-(AI$24-$I47))/6, AND(AI$24-$I47 =6,NOT(_xlfn.IFNA(ISNUMBER(SEARCH("Rending",$L47)),FALSE))), (7-(AI$24-$I47))/6, AND(AI$24-$I47 &gt;=7,NOT(_xlfn.IFNA(ISNUMBER(SEARCH("Rending",$L47)),FALSE))), 0, AI$24-$I47 =7, (7-(AI$24-1-$I47))/6, AI$24-$I47 =8, (7-(AI$24-2-$I47))/6*2/3, AI$24-$I47 =9, (7-(AI$24-3-$I47))/6*1/3, TRUE, 0) *
IF(ISNUMBER(SEARCH("Ordinance",$L47)),7/6,1) *
IF(OR(ISNUMBER(SEARCH("Melee",$L47)),ISNUMBER(SEARCH("Bypass",$L47))),1.5,1)</f>
        <v>1.5555555555555554</v>
      </c>
      <c r="AJ47" s="17" cm="1">
        <f t="array" ref="AJ47">$H47 *
IF(ISNUMBER(SEARCH("Rapid",$L47)),7/6,1) *
IF(OR(ISNUMBER(SEARCH("Beam",$L47)),ISNUMBER(SEARCH("Firestorm",$L47))),1, IF(ISNUMBER(SEARCH("Blast",$L47)),(4+$G47+(2-$G47)*0.5)/6*2,(4+$G47)/6)) *
_xlfn.IFS(AJ$24-$I47 &lt;=1, 5/6, AJ$24-$I47 &lt;=5, (7-(AJ$24-$I47))/6, AND(AJ$24-$I47 =6,NOT(_xlfn.IFNA(ISNUMBER(SEARCH("Rending",$L47)),FALSE))), (7-(AJ$24-$I47))/6, AND(AJ$24-$I47 &gt;=7,NOT(_xlfn.IFNA(ISNUMBER(SEARCH("Rending",$L47)),FALSE))), 0, AJ$24-$I47 =7, (7-(AJ$24-1-$I47))/6, AJ$24-$I47 =8, (7-(AJ$24-2-$I47))/6*2/3, AJ$24-$I47 =9, (7-(AJ$24-3-$I47))/6*1/3, TRUE, 0) *
IF(ISNUMBER(SEARCH("Ordinance",$L47)),7/6,1) *
IF(OR(ISNUMBER(SEARCH("Melee",$L47)),ISNUMBER(SEARCH("Bypass",$L47))),1.5,1)</f>
        <v>0.77777777777777768</v>
      </c>
      <c r="AK47" s="17" cm="1">
        <f t="array" ref="AK47">$H47 *
IF(ISNUMBER(SEARCH("Rapid",$L47)),7/6,1) *
IF(OR(ISNUMBER(SEARCH("Beam",$L47)),ISNUMBER(SEARCH("Firestorm",$L47))),1, IF(ISNUMBER(SEARCH("Blast",$L47)),(4+$G47+(2-$G47)*0.5)/6*2,(4+$G47)/6)) *
_xlfn.IFS(AK$24-$I47 &lt;=1, 5/6, AK$24-$I47 &lt;=5, (7-(AK$24-$I47))/6, AND(AK$24-$I47 =6,NOT(_xlfn.IFNA(ISNUMBER(SEARCH("Rending",$L47)),FALSE))), (7-(AK$24-$I47))/6, AND(AK$24-$I47 &gt;=7,NOT(_xlfn.IFNA(ISNUMBER(SEARCH("Rending",$L47)),FALSE))), 0, AK$24-$I47 =7, (7-(AK$24-1-$I47))/6, AK$24-$I47 =8, (7-(AK$24-2-$I47))/6*2/3, AK$24-$I47 =9, (7-(AK$24-3-$I47))/6*1/3, TRUE, 0) *
IF(ISNUMBER(SEARCH("Ordinance",$L47)),7/6,1) *
IF(OR(ISNUMBER(SEARCH("Melee",$L47)),ISNUMBER(SEARCH("Bypass",$L47))),1.5,1)</f>
        <v>0</v>
      </c>
      <c r="AL47" s="17" cm="1">
        <f t="array" ref="AL47">$H47 *
IF(ISNUMBER(SEARCH("Rapid",$L47)),7/6,1) *
IF(OR(ISNUMBER(SEARCH("Beam",$L47)),ISNUMBER(SEARCH("Firestorm",$L47))),1, IF(ISNUMBER(SEARCH("Blast",$L47)),(4+$G47+(2-$G47)*0.5)/6*2,(4+$G47)/6)) *
_xlfn.IFS(AL$24-$I47 &lt;=1, 5/6, AL$24-$I47 &lt;=5, (7-(AL$24-$I47))/6, AND(AL$24-$I47 =6,NOT(_xlfn.IFNA(ISNUMBER(SEARCH("Rending",$L47)),FALSE))), (7-(AL$24-$I47))/6, AND(AL$24-$I47 &gt;=7,NOT(_xlfn.IFNA(ISNUMBER(SEARCH("Rending",$L47)),FALSE))), 0, AL$24-$I47 =7, (7-(AL$24-1-$I47))/6, AL$24-$I47 =8, (7-(AL$24-2-$I47))/6*2/3, AL$24-$I47 =9, (7-(AL$24-3-$I47))/6*1/3, TRUE, 0) *
IF(ISNUMBER(SEARCH("Ordinance",$L47)),7/6,1) *
IF(OR(ISNUMBER(SEARCH("Melee",$L47)),ISNUMBER(SEARCH("Bypass",$L47))),1.5,1)</f>
        <v>0</v>
      </c>
      <c r="AM47" s="17" cm="1">
        <f t="array" ref="AM47">$H47 *
IF(ISNUMBER(SEARCH("Rapid",$L47)),7/6,1) *
IF(OR(ISNUMBER(SEARCH("Beam",$L47)),ISNUMBER(SEARCH("Firestorm",$L47))),1, IF(ISNUMBER(SEARCH("Blast",$L47)),(4+$G47+(2-$G47)*0.5)/6*2,(4+$G47)/6)) *
_xlfn.IFS(AM$24-$I47 &lt;=1, 5/6, AM$24-$I47 &lt;=5, (7-(AM$24-$I47))/6, AND(AM$24-$I47 =6,NOT(_xlfn.IFNA(ISNUMBER(SEARCH("Rending",$L47)),FALSE))), (7-(AM$24-$I47))/6, AND(AM$24-$I47 &gt;=7,NOT(_xlfn.IFNA(ISNUMBER(SEARCH("Rending",$L47)),FALSE))), 0, AM$24-$I47 =7, (7-(AM$24-1-$I47))/6, AM$24-$I47 =8, (7-(AM$24-2-$I47))/6*2/3, AM$24-$I47 =9, (7-(AM$24-3-$I47))/6*1/3, TRUE, 0) *
IF(ISNUMBER(SEARCH("Ordinance",$L47)),7/6,1) *
IF(OR(ISNUMBER(SEARCH("Melee",$L47)),ISNUMBER(SEARCH("Bypass",$L47))),1.5,1)</f>
        <v>0</v>
      </c>
      <c r="AN47" s="17" cm="1">
        <f t="array" ref="AN47">$H47 *
IF(ISNUMBER(SEARCH("Rapid",$L47)),7/6,1) *
IF(OR(ISNUMBER(SEARCH("Beam",$L47)),ISNUMBER(SEARCH("Firestorm",$L47))),1, IF(ISNUMBER(SEARCH("Blast",$L47)),(4+$G47+(2-$G47)*0.5)/6*2,(4+$G47)/6)) *
_xlfn.IFS(AN$24-$I47 &lt;=1, 5/6, AN$24-$I47 &lt;=5, (7-(AN$24-$I47))/6, AND(AN$24-$I47 =6,NOT(_xlfn.IFNA(ISNUMBER(SEARCH("Rending",$L47)),FALSE))), (7-(AN$24-$I47))/6, AND(AN$24-$I47 &gt;=7,NOT(_xlfn.IFNA(ISNUMBER(SEARCH("Rending",$L47)),FALSE))), 0, AN$24-$I47 =7, (7-(AN$24-1-$I47))/6, AN$24-$I47 =8, (7-(AN$24-2-$I47))/6*2/3, AN$24-$I47 =9, (7-(AN$24-3-$I47))/6*1/3, TRUE, 0) *
IF(ISNUMBER(SEARCH("Ordinance",$L47)),7/6,1) *
IF(OR(ISNUMBER(SEARCH("Melee",$L47)),ISNUMBER(SEARCH("Bypass",$L47))),1.5,1)</f>
        <v>0</v>
      </c>
      <c r="AO47" s="17" cm="1">
        <f t="array" ref="AO47">$H47 *
IF(ISNUMBER(SEARCH("Rapid",$L47)),7/6,1) *
IF(OR(ISNUMBER(SEARCH("Beam",$L47)),ISNUMBER(SEARCH("Firestorm",$L47))),1, IF(ISNUMBER(SEARCH("Blast",$L47)),(4+$G47+(2-$G47)*0.5)/6*2,(4+$G47)/6)) *
_xlfn.IFS(AO$24-$I47 &lt;=1, 5/6, AO$24-$I47 &lt;=5, (7-(AO$24-$I47))/6, AND(AO$24-$I47 =6,NOT(_xlfn.IFNA(ISNUMBER(SEARCH("Rending",$L47)),FALSE))), (7-(AO$24-$I47))/6, AND(AO$24-$I47 &gt;=7,NOT(_xlfn.IFNA(ISNUMBER(SEARCH("Rending",$L47)),FALSE))), 0, AO$24-$I47 =7, (7-(AO$24-1-$I47))/6, AO$24-$I47 =8, (7-(AO$24-2-$I47))/6*2/3, AO$24-$I47 =9, (7-(AO$24-3-$I47))/6*1/3, TRUE, 0) *
IF(ISNUMBER(SEARCH("Ordinance",$L47)),7/6,1) *
IF(OR(ISNUMBER(SEARCH("Melee",$L47)),ISNUMBER(SEARCH("Bypass",$L47))),1.5,1)</f>
        <v>0</v>
      </c>
      <c r="AP47" s="17" cm="1">
        <f t="array" ref="AP47">$H47 *
IF(ISNUMBER(SEARCH("Rapid",$L47)),7/6,1) *
IF(OR(ISNUMBER(SEARCH("Beam",$L47)),ISNUMBER(SEARCH("Firestorm",$L47))),1, IF(ISNUMBER(SEARCH("Blast",$L47)),(4+$G47+(2-$G47)*0.5)/6*2,(4+$G47)/6)) *
_xlfn.IFS(AP$24-$I47 &lt;=1, 5/6, AP$24-$I47 &lt;=5, (7-(AP$24-$I47))/6, AND(AP$24-$I47 =6,NOT(_xlfn.IFNA(ISNUMBER(SEARCH("Rending",$L47)),FALSE))), (7-(AP$24-$I47))/6, AND(AP$24-$I47 &gt;=7,NOT(_xlfn.IFNA(ISNUMBER(SEARCH("Rending",$L47)),FALSE))), 0, AP$24-$I47 =7, (7-(AP$24-1-$I47))/6, AP$24-$I47 =8, (7-(AP$24-2-$I47))/6*2/3, AP$24-$I47 =9, (7-(AP$24-3-$I47))/6*1/3, TRUE, 0) *
IF(ISNUMBER(SEARCH("Ordinance",$L47)),7/6,1) *
IF(OR(ISNUMBER(SEARCH("Melee",$L47)),ISNUMBER(SEARCH("Bypass",$L47))),1.5,1)</f>
        <v>0</v>
      </c>
      <c r="AQ47" s="17" cm="1">
        <f t="array" ref="AQ47">$H47 *
IF(ISNUMBER(SEARCH("Rapid",$L47)),7/6,1) *
IF(OR(ISNUMBER(SEARCH("Beam",$L47)),ISNUMBER(SEARCH("Firestorm",$L47))),1, IF(ISNUMBER(SEARCH("Blast",$L47)),(4+$G47+(2-$G47)*0.5)/6*2,(4+$G47)/6)) *
_xlfn.IFS(AQ$24-$I47 &lt;=1, 5/6, AQ$24-$I47 &lt;=5, (7-(AQ$24-$I47))/6, AND(AQ$24-$I47 =6,NOT(_xlfn.IFNA(ISNUMBER(SEARCH("Rending",$L47)),FALSE))), (7-(AQ$24-$I47))/6, AND(AQ$24-$I47 &gt;=7,NOT(_xlfn.IFNA(ISNUMBER(SEARCH("Rending",$L47)),FALSE))), 0, AQ$24-$I47 =7, (7-(AQ$24-1-$I47))/6, AQ$24-$I47 =8, (7-(AQ$24-2-$I47))/6*2/3, AQ$24-$I47 =9, (7-(AQ$24-3-$I47))/6*1/3, TRUE, 0) *
IF(ISNUMBER(SEARCH("Ordinance",$L47)),7/6,1) *
IF(OR(ISNUMBER(SEARCH("Melee",$L47)),ISNUMBER(SEARCH("Bypass",$L47))),1.5,1)</f>
        <v>0</v>
      </c>
      <c r="AS47" s="16">
        <f t="shared" ref="AS47:AT49" si="8">IF($E47=1,AG47*3,IF($E47=2,2*AG47,1.1*AG47))/3</f>
        <v>1.5555555555555554</v>
      </c>
      <c r="AT47" s="16">
        <f t="shared" si="8"/>
        <v>2.333333333333333</v>
      </c>
      <c r="AU47" s="16">
        <f>IF(D47+E47=3,
 IF(E47=3, 2.5*AI47,
  IF(E47=2, 1.8*AI47+0.7*X47,
   IF(E47=1, 0.95*AI47+1.55*X47,
    2.5*X47))),
 IF(D47+E47=2,
  IF(E47=2, 1.55*AI47,
   IF(E47 =1, 0.85*AI47+0.7*X47,
    1.55*X47)),
  IF(E47=1, 0.95*AI47,
   0.7*X47))
)/3</f>
        <v>0.80370370370370348</v>
      </c>
      <c r="AV47" s="2">
        <v>9</v>
      </c>
    </row>
    <row r="48" spans="1:48" x14ac:dyDescent="0.3">
      <c r="A48" t="s">
        <v>209</v>
      </c>
      <c r="B48" s="3">
        <v>30</v>
      </c>
      <c r="C48" s="3">
        <v>60</v>
      </c>
      <c r="D48" s="3">
        <v>2</v>
      </c>
      <c r="E48" s="3">
        <v>1</v>
      </c>
      <c r="F48" s="10">
        <v>1</v>
      </c>
      <c r="H48" s="3">
        <v>1</v>
      </c>
      <c r="I48" s="3">
        <v>10</v>
      </c>
      <c r="J48" s="3" t="s">
        <v>453</v>
      </c>
      <c r="K48" s="3">
        <v>25</v>
      </c>
      <c r="L48" s="3" t="s">
        <v>455</v>
      </c>
      <c r="M48" s="3" t="s">
        <v>199</v>
      </c>
      <c r="N48" s="3">
        <v>10</v>
      </c>
      <c r="O48" s="29">
        <v>10</v>
      </c>
      <c r="P48" s="29">
        <v>14</v>
      </c>
      <c r="Q48" s="52" t="s">
        <v>200</v>
      </c>
      <c r="R48" s="29">
        <v>7</v>
      </c>
      <c r="S48" s="29">
        <v>9</v>
      </c>
      <c r="T48" s="29">
        <v>5</v>
      </c>
      <c r="V48" s="16">
        <f t="shared" si="1"/>
        <v>0.61111111111111105</v>
      </c>
      <c r="W48" s="16">
        <f t="shared" si="2"/>
        <v>0.91666666666666663</v>
      </c>
      <c r="X48" s="17" cm="1">
        <f t="array" ref="X48">$H48 *
IF(ISNUMBER(SEARCH("Rapid",$L48)),7/6,1) *
IF(OR(ISNUMBER(SEARCH("Beam",$L48)),ISNUMBER(SEARCH("Firestorm",$L48))),1, IF(ISNUMBER(SEARCH("Blast",$L48)),(4+$F48+(2-$F48)*0.5)/6*2,(4+$F48)/6)) *
IF(ISNUMBER(SEARCH("Fusion",$L48)), _xlfn.IFS(X$24-$I48 &lt;=1, 9/10, X$24-$I48 &lt;=10,(11-(X$24-$I48))/10, X$24-$I48 &gt;=11, 0),
_xlfn.IFS(X$24-$I48 &lt;=1, 5/6, X$24-$I48 &lt;=5, (7-(X$24-$I48))/6, AND(X$24-$I48 =6,NOT(_xlfn.IFNA(ISNUMBER(SEARCH("Rending",$L48)),FALSE))), (7-(X$24-$I48))/6, AND(X$24-$I48 &gt;=7,NOT(_xlfn.IFNA(ISNUMBER(SEARCH("Rending",$L48)),FALSE))), 0, X$24-$I48 =7, (7-(X$24-1-$I48))/6, X$24-$I48 =8, (7-(X$24-2-$I48))/6*2/3, X$24-$I48 =9, (7-(X$24-3-$I48))/6*1/3, TRUE, 0)) *
IF(ISNUMBER(SEARCH("Ordinance",$L48)),7/6,1) *
IF(OR(ISNUMBER(SEARCH("Melee",$L48)),ISNUMBER(SEARCH("Bypass",$L48))),1.5,1)</f>
        <v>1.5277777777777777</v>
      </c>
      <c r="Y48" s="17" cm="1">
        <f t="array" ref="Y48">$H48 *
IF(ISNUMBER(SEARCH("Rapid",$L48)),7/6,1) *
IF(OR(ISNUMBER(SEARCH("Beam",$L48)),ISNUMBER(SEARCH("Firestorm",$L48))),1, IF(ISNUMBER(SEARCH("Blast",$L48)),(4+$F48+(2-$F48)*0.5)/6*2,(4+$F48)/6)) *
IF(ISNUMBER(SEARCH("Fusion",$L48)), _xlfn.IFS(Y$24-$I48 &lt;=1, 9/10, Y$24-$I48 &lt;=10,(11-(Y$24-$I48))/10, Y$24-$I48 &gt;=11, 0),
_xlfn.IFS(Y$24-$I48 &lt;=1, 5/6, Y$24-$I48 &lt;=5, (7-(Y$24-$I48))/6, AND(Y$24-$I48 =6,NOT(_xlfn.IFNA(ISNUMBER(SEARCH("Rending",$L48)),FALSE))), (7-(Y$24-$I48))/6, AND(Y$24-$I48 &gt;=7,NOT(_xlfn.IFNA(ISNUMBER(SEARCH("Rending",$L48)),FALSE))), 0, Y$24-$I48 =7, (7-(Y$24-1-$I48))/6, Y$24-$I48 =8, (7-(Y$24-2-$I48))/6*2/3, Y$24-$I48 =9, (7-(Y$24-3-$I48))/6*1/3, TRUE, 0)) *
IF(ISNUMBER(SEARCH("Ordinance",$L48)),7/6,1) *
IF(OR(ISNUMBER(SEARCH("Melee",$L48)),ISNUMBER(SEARCH("Bypass",$L48))),1.5,1)</f>
        <v>1.5277777777777777</v>
      </c>
      <c r="Z48" s="17" cm="1">
        <f t="array" ref="Z48">$H48 *
IF(ISNUMBER(SEARCH("Rapid",$L48)),7/6,1) *
IF(OR(ISNUMBER(SEARCH("Beam",$L48)),ISNUMBER(SEARCH("Firestorm",$L48))),1, IF(ISNUMBER(SEARCH("Blast",$L48)),(4+$F48+(2-$F48)*0.5)/6*2,(4+$F48)/6)) *
IF(ISNUMBER(SEARCH("Fusion",$L48)), _xlfn.IFS(Z$24-$I48 &lt;=1, 9/10, Z$24-$I48 &lt;=10,(11-(Z$24-$I48))/10, Z$24-$I48 &gt;=11, 0),
_xlfn.IFS(Z$24-$I48 &lt;=1, 5/6, Z$24-$I48 &lt;=5, (7-(Z$24-$I48))/6, AND(Z$24-$I48 =6,NOT(_xlfn.IFNA(ISNUMBER(SEARCH("Rending",$L48)),FALSE))), (7-(Z$24-$I48))/6, AND(Z$24-$I48 &gt;=7,NOT(_xlfn.IFNA(ISNUMBER(SEARCH("Rending",$L48)),FALSE))), 0, Z$24-$I48 =7, (7-(Z$24-1-$I48))/6, Z$24-$I48 =8, (7-(Z$24-2-$I48))/6*2/3, Z$24-$I48 =9, (7-(Z$24-3-$I48))/6*1/3, TRUE, 0)) *
IF(ISNUMBER(SEARCH("Ordinance",$L48)),7/6,1) *
IF(OR(ISNUMBER(SEARCH("Melee",$L48)),ISNUMBER(SEARCH("Bypass",$L48))),1.5,1)</f>
        <v>1.5277777777777777</v>
      </c>
      <c r="AA48" s="17" cm="1">
        <f t="array" ref="AA48">$H48 *
IF(ISNUMBER(SEARCH("Rapid",$L48)),7/6,1) *
IF(OR(ISNUMBER(SEARCH("Beam",$L48)),ISNUMBER(SEARCH("Firestorm",$L48))),1, IF(ISNUMBER(SEARCH("Blast",$L48)),(4+$F48+(2-$F48)*0.5)/6*2,(4+$F48)/6)) *
IF(ISNUMBER(SEARCH("Fusion",$L48)), _xlfn.IFS(AA$24-$I48 &lt;=1, 9/10, AA$24-$I48 &lt;=10,(11-(AA$24-$I48))/10, AA$24-$I48 &gt;=11, 0),
_xlfn.IFS(AA$24-$I48 &lt;=1, 5/6, AA$24-$I48 &lt;=5, (7-(AA$24-$I48))/6, AND(AA$24-$I48 =6,NOT(_xlfn.IFNA(ISNUMBER(SEARCH("Rending",$L48)),FALSE))), (7-(AA$24-$I48))/6, AND(AA$24-$I48 &gt;=7,NOT(_xlfn.IFNA(ISNUMBER(SEARCH("Rending",$L48)),FALSE))), 0, AA$24-$I48 =7, (7-(AA$24-1-$I48))/6, AA$24-$I48 =8, (7-(AA$24-2-$I48))/6*2/3, AA$24-$I48 =9, (7-(AA$24-3-$I48))/6*1/3, TRUE, 0)) *
IF(ISNUMBER(SEARCH("Ordinance",$L48)),7/6,1) *
IF(OR(ISNUMBER(SEARCH("Melee",$L48)),ISNUMBER(SEARCH("Bypass",$L48))),1.5,1)</f>
        <v>1.5277777777777777</v>
      </c>
      <c r="AB48" s="17" cm="1">
        <f t="array" ref="AB48">$H48 *
IF(ISNUMBER(SEARCH("Rapid",$L48)),7/6,1) *
IF(OR(ISNUMBER(SEARCH("Beam",$L48)),ISNUMBER(SEARCH("Firestorm",$L48))),1, IF(ISNUMBER(SEARCH("Blast",$L48)),(4+$F48+(2-$F48)*0.5)/6*2,(4+$F48)/6)) *
IF(ISNUMBER(SEARCH("Fusion",$L48)), _xlfn.IFS(AB$24-$I48 &lt;=1, 9/10, AB$24-$I48 &lt;=10,(11-(AB$24-$I48))/10, AB$24-$I48 &gt;=11, 0),
_xlfn.IFS(AB$24-$I48 &lt;=1, 5/6, AB$24-$I48 &lt;=5, (7-(AB$24-$I48))/6, AND(AB$24-$I48 =6,NOT(_xlfn.IFNA(ISNUMBER(SEARCH("Rending",$L48)),FALSE))), (7-(AB$24-$I48))/6, AND(AB$24-$I48 &gt;=7,NOT(_xlfn.IFNA(ISNUMBER(SEARCH("Rending",$L48)),FALSE))), 0, AB$24-$I48 =7, (7-(AB$24-1-$I48))/6, AB$24-$I48 =8, (7-(AB$24-2-$I48))/6*2/3, AB$24-$I48 =9, (7-(AB$24-3-$I48))/6*1/3, TRUE, 0)) *
IF(ISNUMBER(SEARCH("Ordinance",$L48)),7/6,1) *
IF(OR(ISNUMBER(SEARCH("Melee",$L48)),ISNUMBER(SEARCH("Bypass",$L48))),1.5,1)</f>
        <v>1.2222222222222221</v>
      </c>
      <c r="AC48" s="17" cm="1">
        <f t="array" ref="AC48">$H48 *
IF(ISNUMBER(SEARCH("Rapid",$L48)),7/6,1) *
IF(OR(ISNUMBER(SEARCH("Beam",$L48)),ISNUMBER(SEARCH("Firestorm",$L48))),1, IF(ISNUMBER(SEARCH("Blast",$L48)),(4+$F48+(2-$F48)*0.5)/6*2,(4+$F48)/6)) *
IF(ISNUMBER(SEARCH("Fusion",$L48)), _xlfn.IFS(AC$24-$I48 &lt;=1, 9/10, AC$24-$I48 &lt;=10,(11-(AC$24-$I48))/10, AC$24-$I48 &gt;=11, 0),
_xlfn.IFS(AC$24-$I48 &lt;=1, 5/6, AC$24-$I48 &lt;=5, (7-(AC$24-$I48))/6, AND(AC$24-$I48 =6,NOT(_xlfn.IFNA(ISNUMBER(SEARCH("Rending",$L48)),FALSE))), (7-(AC$24-$I48))/6, AND(AC$24-$I48 &gt;=7,NOT(_xlfn.IFNA(ISNUMBER(SEARCH("Rending",$L48)),FALSE))), 0, AC$24-$I48 =7, (7-(AC$24-1-$I48))/6, AC$24-$I48 =8, (7-(AC$24-2-$I48))/6*2/3, AC$24-$I48 =9, (7-(AC$24-3-$I48))/6*1/3, TRUE, 0)) *
IF(ISNUMBER(SEARCH("Ordinance",$L48)),7/6,1) *
IF(OR(ISNUMBER(SEARCH("Melee",$L48)),ISNUMBER(SEARCH("Bypass",$L48))),1.5,1)</f>
        <v>0.91666666666666663</v>
      </c>
      <c r="AD48" s="17" cm="1">
        <f t="array" ref="AD48">$H48 *
IF(ISNUMBER(SEARCH("Rapid",$L48)),7/6,1) *
IF(OR(ISNUMBER(SEARCH("Beam",$L48)),ISNUMBER(SEARCH("Firestorm",$L48))),1, IF(ISNUMBER(SEARCH("Blast",$L48)),(4+$F48+(2-$F48)*0.5)/6*2,(4+$F48)/6)) *
IF(ISNUMBER(SEARCH("Fusion",$L48)), _xlfn.IFS(AD$24-$I48 &lt;=1, 9/10, AD$24-$I48 &lt;=10,(11-(AD$24-$I48))/10, AD$24-$I48 &gt;=11, 0),
_xlfn.IFS(AD$24-$I48 &lt;=1, 5/6, AD$24-$I48 &lt;=5, (7-(AD$24-$I48))/6, AND(AD$24-$I48 =6,NOT(_xlfn.IFNA(ISNUMBER(SEARCH("Rending",$L48)),FALSE))), (7-(AD$24-$I48))/6, AND(AD$24-$I48 &gt;=7,NOT(_xlfn.IFNA(ISNUMBER(SEARCH("Rending",$L48)),FALSE))), 0, AD$24-$I48 =7, (7-(AD$24-1-$I48))/6, AD$24-$I48 =8, (7-(AD$24-2-$I48))/6*2/3, AD$24-$I48 =9, (7-(AD$24-3-$I48))/6*1/3, TRUE, 0)) *
IF(ISNUMBER(SEARCH("Ordinance",$L48)),7/6,1) *
IF(OR(ISNUMBER(SEARCH("Melee",$L48)),ISNUMBER(SEARCH("Bypass",$L48))),1.5,1)</f>
        <v>0.61111111111111105</v>
      </c>
      <c r="AE48" s="17" cm="1">
        <f t="array" ref="AE48">$H48 *
IF(ISNUMBER(SEARCH("Rapid",$L48)),7/6,1) *
IF(OR(ISNUMBER(SEARCH("Beam",$L48)),ISNUMBER(SEARCH("Firestorm",$L48))),1, IF(ISNUMBER(SEARCH("Blast",$L48)),(4+$F48+(2-$F48)*0.5)/6*2,(4+$F48)/6)) *
IF(ISNUMBER(SEARCH("Fusion",$L48)), _xlfn.IFS(AE$24-$I48 &lt;=1, 9/10, AE$24-$I48 &lt;=10,(11-(AE$24-$I48))/10, AE$24-$I48 &gt;=11, 0),
_xlfn.IFS(AE$24-$I48 &lt;=1, 5/6, AE$24-$I48 &lt;=5, (7-(AE$24-$I48))/6, AND(AE$24-$I48 =6,NOT(_xlfn.IFNA(ISNUMBER(SEARCH("Rending",$L48)),FALSE))), (7-(AE$24-$I48))/6, AND(AE$24-$I48 &gt;=7,NOT(_xlfn.IFNA(ISNUMBER(SEARCH("Rending",$L48)),FALSE))), 0, AE$24-$I48 =7, (7-(AE$24-1-$I48))/6, AE$24-$I48 =8, (7-(AE$24-2-$I48))/6*2/3, AE$24-$I48 =9, (7-(AE$24-3-$I48))/6*1/3, TRUE, 0)) *
IF(ISNUMBER(SEARCH("Ordinance",$L48)),7/6,1) *
IF(OR(ISNUMBER(SEARCH("Melee",$L48)),ISNUMBER(SEARCH("Bypass",$L48))),1.5,1)</f>
        <v>0.30555555555555552</v>
      </c>
      <c r="AF48" s="17" cm="1">
        <f t="array" ref="AF48">$H48 *
IF(ISNUMBER(SEARCH("Rapid",$L48)),7/6,1) *
IF(OR(ISNUMBER(SEARCH("Beam",$L48)),ISNUMBER(SEARCH("Firestorm",$L48))),1, IF(ISNUMBER(SEARCH("Blast",$L48)),(4+$F48+(2-$F48)*0.5)/6*2,(4+$F48)/6)) *
IF(ISNUMBER(SEARCH("Fusion",$L48)), _xlfn.IFS(AF$24-$I48 &lt;=1, 9/10, AF$24-$I48 &lt;=10,(11-(AF$24-$I48))/10, AF$24-$I48 &gt;=11, 0),
_xlfn.IFS(AF$24-$I48 &lt;=1, 5/6, AF$24-$I48 &lt;=5, (7-(AF$24-$I48))/6, AND(AF$24-$I48 =6,NOT(_xlfn.IFNA(ISNUMBER(SEARCH("Rending",$L48)),FALSE))), (7-(AF$24-$I48))/6, AND(AF$24-$I48 &gt;=7,NOT(_xlfn.IFNA(ISNUMBER(SEARCH("Rending",$L48)),FALSE))), 0, AF$24-$I48 =7, (7-(AF$24-1-$I48))/6, AF$24-$I48 =8, (7-(AF$24-2-$I48))/6*2/3, AF$24-$I48 =9, (7-(AF$24-3-$I48))/6*1/3, TRUE, 0)) *
IF(ISNUMBER(SEARCH("Ordinance",$L48)),7/6,1) *
IF(OR(ISNUMBER(SEARCH("Melee",$L48)),ISNUMBER(SEARCH("Bypass",$L48))),1.5,1)</f>
        <v>0</v>
      </c>
      <c r="AG48" s="16">
        <f t="shared" si="3"/>
        <v>0.55555555555555558</v>
      </c>
      <c r="AH48" s="16">
        <f t="shared" si="4"/>
        <v>0.83333333333333337</v>
      </c>
      <c r="AI48" s="17" cm="1">
        <f t="array" ref="AI48">$H48 *
IF(ISNUMBER(SEARCH("Rapid",$L48)),7/6,1) *
IF(OR(ISNUMBER(SEARCH("Beam",$L48)),ISNUMBER(SEARCH("Firestorm",$L48))),1, IF(ISNUMBER(SEARCH("Blast",$L48)),(4+$G48+(2-$G48)*0.5)/6*2,(4+$G48)/6)) *
_xlfn.IFS(AI$24-$I48 &lt;=1, 5/6, AI$24-$I48 &lt;=5, (7-(AI$24-$I48))/6, AND(AI$24-$I48 =6,NOT(_xlfn.IFNA(ISNUMBER(SEARCH("Rending",$L48)),FALSE))), (7-(AI$24-$I48))/6, AND(AI$24-$I48 &gt;=7,NOT(_xlfn.IFNA(ISNUMBER(SEARCH("Rending",$L48)),FALSE))), 0, AI$24-$I48 =7, (7-(AI$24-1-$I48))/6, AI$24-$I48 =8, (7-(AI$24-2-$I48))/6*2/3, AI$24-$I48 =9, (7-(AI$24-3-$I48))/6*1/3, TRUE, 0) *
IF(ISNUMBER(SEARCH("Ordinance",$L48)),7/6,1) *
IF(OR(ISNUMBER(SEARCH("Melee",$L48)),ISNUMBER(SEARCH("Bypass",$L48))),1.5,1)</f>
        <v>1.3888888888888891</v>
      </c>
      <c r="AJ48" s="17" cm="1">
        <f t="array" ref="AJ48">$H48 *
IF(ISNUMBER(SEARCH("Rapid",$L48)),7/6,1) *
IF(OR(ISNUMBER(SEARCH("Beam",$L48)),ISNUMBER(SEARCH("Firestorm",$L48))),1, IF(ISNUMBER(SEARCH("Blast",$L48)),(4+$G48+(2-$G48)*0.5)/6*2,(4+$G48)/6)) *
_xlfn.IFS(AJ$24-$I48 &lt;=1, 5/6, AJ$24-$I48 &lt;=5, (7-(AJ$24-$I48))/6, AND(AJ$24-$I48 =6,NOT(_xlfn.IFNA(ISNUMBER(SEARCH("Rending",$L48)),FALSE))), (7-(AJ$24-$I48))/6, AND(AJ$24-$I48 &gt;=7,NOT(_xlfn.IFNA(ISNUMBER(SEARCH("Rending",$L48)),FALSE))), 0, AJ$24-$I48 =7, (7-(AJ$24-1-$I48))/6, AJ$24-$I48 =8, (7-(AJ$24-2-$I48))/6*2/3, AJ$24-$I48 =9, (7-(AJ$24-3-$I48))/6*1/3, TRUE, 0) *
IF(ISNUMBER(SEARCH("Ordinance",$L48)),7/6,1) *
IF(OR(ISNUMBER(SEARCH("Melee",$L48)),ISNUMBER(SEARCH("Bypass",$L48))),1.5,1)</f>
        <v>1.3888888888888891</v>
      </c>
      <c r="AK48" s="17" cm="1">
        <f t="array" ref="AK48">$H48 *
IF(ISNUMBER(SEARCH("Rapid",$L48)),7/6,1) *
IF(OR(ISNUMBER(SEARCH("Beam",$L48)),ISNUMBER(SEARCH("Firestorm",$L48))),1, IF(ISNUMBER(SEARCH("Blast",$L48)),(4+$G48+(2-$G48)*0.5)/6*2,(4+$G48)/6)) *
_xlfn.IFS(AK$24-$I48 &lt;=1, 5/6, AK$24-$I48 &lt;=5, (7-(AK$24-$I48))/6, AND(AK$24-$I48 =6,NOT(_xlfn.IFNA(ISNUMBER(SEARCH("Rending",$L48)),FALSE))), (7-(AK$24-$I48))/6, AND(AK$24-$I48 &gt;=7,NOT(_xlfn.IFNA(ISNUMBER(SEARCH("Rending",$L48)),FALSE))), 0, AK$24-$I48 =7, (7-(AK$24-1-$I48))/6, AK$24-$I48 =8, (7-(AK$24-2-$I48))/6*2/3, AK$24-$I48 =9, (7-(AK$24-3-$I48))/6*1/3, TRUE, 0) *
IF(ISNUMBER(SEARCH("Ordinance",$L48)),7/6,1) *
IF(OR(ISNUMBER(SEARCH("Melee",$L48)),ISNUMBER(SEARCH("Bypass",$L48))),1.5,1)</f>
        <v>1.3888888888888891</v>
      </c>
      <c r="AL48" s="17" cm="1">
        <f t="array" ref="AL48">$H48 *
IF(ISNUMBER(SEARCH("Rapid",$L48)),7/6,1) *
IF(OR(ISNUMBER(SEARCH("Beam",$L48)),ISNUMBER(SEARCH("Firestorm",$L48))),1, IF(ISNUMBER(SEARCH("Blast",$L48)),(4+$G48+(2-$G48)*0.5)/6*2,(4+$G48)/6)) *
_xlfn.IFS(AL$24-$I48 &lt;=1, 5/6, AL$24-$I48 &lt;=5, (7-(AL$24-$I48))/6, AND(AL$24-$I48 =6,NOT(_xlfn.IFNA(ISNUMBER(SEARCH("Rending",$L48)),FALSE))), (7-(AL$24-$I48))/6, AND(AL$24-$I48 &gt;=7,NOT(_xlfn.IFNA(ISNUMBER(SEARCH("Rending",$L48)),FALSE))), 0, AL$24-$I48 =7, (7-(AL$24-1-$I48))/6, AL$24-$I48 =8, (7-(AL$24-2-$I48))/6*2/3, AL$24-$I48 =9, (7-(AL$24-3-$I48))/6*1/3, TRUE, 0) *
IF(ISNUMBER(SEARCH("Ordinance",$L48)),7/6,1) *
IF(OR(ISNUMBER(SEARCH("Melee",$L48)),ISNUMBER(SEARCH("Bypass",$L48))),1.5,1)</f>
        <v>1.3888888888888891</v>
      </c>
      <c r="AM48" s="17" cm="1">
        <f t="array" ref="AM48">$H48 *
IF(ISNUMBER(SEARCH("Rapid",$L48)),7/6,1) *
IF(OR(ISNUMBER(SEARCH("Beam",$L48)),ISNUMBER(SEARCH("Firestorm",$L48))),1, IF(ISNUMBER(SEARCH("Blast",$L48)),(4+$G48+(2-$G48)*0.5)/6*2,(4+$G48)/6)) *
_xlfn.IFS(AM$24-$I48 &lt;=1, 5/6, AM$24-$I48 &lt;=5, (7-(AM$24-$I48))/6, AND(AM$24-$I48 =6,NOT(_xlfn.IFNA(ISNUMBER(SEARCH("Rending",$L48)),FALSE))), (7-(AM$24-$I48))/6, AND(AM$24-$I48 &gt;=7,NOT(_xlfn.IFNA(ISNUMBER(SEARCH("Rending",$L48)),FALSE))), 0, AM$24-$I48 =7, (7-(AM$24-1-$I48))/6, AM$24-$I48 =8, (7-(AM$24-2-$I48))/6*2/3, AM$24-$I48 =9, (7-(AM$24-3-$I48))/6*1/3, TRUE, 0) *
IF(ISNUMBER(SEARCH("Ordinance",$L48)),7/6,1) *
IF(OR(ISNUMBER(SEARCH("Melee",$L48)),ISNUMBER(SEARCH("Bypass",$L48))),1.5,1)</f>
        <v>1.1111111111111112</v>
      </c>
      <c r="AN48" s="17" cm="1">
        <f t="array" ref="AN48">$H48 *
IF(ISNUMBER(SEARCH("Rapid",$L48)),7/6,1) *
IF(OR(ISNUMBER(SEARCH("Beam",$L48)),ISNUMBER(SEARCH("Firestorm",$L48))),1, IF(ISNUMBER(SEARCH("Blast",$L48)),(4+$G48+(2-$G48)*0.5)/6*2,(4+$G48)/6)) *
_xlfn.IFS(AN$24-$I48 &lt;=1, 5/6, AN$24-$I48 &lt;=5, (7-(AN$24-$I48))/6, AND(AN$24-$I48 =6,NOT(_xlfn.IFNA(ISNUMBER(SEARCH("Rending",$L48)),FALSE))), (7-(AN$24-$I48))/6, AND(AN$24-$I48 &gt;=7,NOT(_xlfn.IFNA(ISNUMBER(SEARCH("Rending",$L48)),FALSE))), 0, AN$24-$I48 =7, (7-(AN$24-1-$I48))/6, AN$24-$I48 =8, (7-(AN$24-2-$I48))/6*2/3, AN$24-$I48 =9, (7-(AN$24-3-$I48))/6*1/3, TRUE, 0) *
IF(ISNUMBER(SEARCH("Ordinance",$L48)),7/6,1) *
IF(OR(ISNUMBER(SEARCH("Melee",$L48)),ISNUMBER(SEARCH("Bypass",$L48))),1.5,1)</f>
        <v>0.83333333333333337</v>
      </c>
      <c r="AO48" s="17" cm="1">
        <f t="array" ref="AO48">$H48 *
IF(ISNUMBER(SEARCH("Rapid",$L48)),7/6,1) *
IF(OR(ISNUMBER(SEARCH("Beam",$L48)),ISNUMBER(SEARCH("Firestorm",$L48))),1, IF(ISNUMBER(SEARCH("Blast",$L48)),(4+$G48+(2-$G48)*0.5)/6*2,(4+$G48)/6)) *
_xlfn.IFS(AO$24-$I48 &lt;=1, 5/6, AO$24-$I48 &lt;=5, (7-(AO$24-$I48))/6, AND(AO$24-$I48 =6,NOT(_xlfn.IFNA(ISNUMBER(SEARCH("Rending",$L48)),FALSE))), (7-(AO$24-$I48))/6, AND(AO$24-$I48 &gt;=7,NOT(_xlfn.IFNA(ISNUMBER(SEARCH("Rending",$L48)),FALSE))), 0, AO$24-$I48 =7, (7-(AO$24-1-$I48))/6, AO$24-$I48 =8, (7-(AO$24-2-$I48))/6*2/3, AO$24-$I48 =9, (7-(AO$24-3-$I48))/6*1/3, TRUE, 0) *
IF(ISNUMBER(SEARCH("Ordinance",$L48)),7/6,1) *
IF(OR(ISNUMBER(SEARCH("Melee",$L48)),ISNUMBER(SEARCH("Bypass",$L48))),1.5,1)</f>
        <v>0.55555555555555558</v>
      </c>
      <c r="AP48" s="17" cm="1">
        <f t="array" ref="AP48">$H48 *
IF(ISNUMBER(SEARCH("Rapid",$L48)),7/6,1) *
IF(OR(ISNUMBER(SEARCH("Beam",$L48)),ISNUMBER(SEARCH("Firestorm",$L48))),1, IF(ISNUMBER(SEARCH("Blast",$L48)),(4+$G48+(2-$G48)*0.5)/6*2,(4+$G48)/6)) *
_xlfn.IFS(AP$24-$I48 &lt;=1, 5/6, AP$24-$I48 &lt;=5, (7-(AP$24-$I48))/6, AND(AP$24-$I48 =6,NOT(_xlfn.IFNA(ISNUMBER(SEARCH("Rending",$L48)),FALSE))), (7-(AP$24-$I48))/6, AND(AP$24-$I48 &gt;=7,NOT(_xlfn.IFNA(ISNUMBER(SEARCH("Rending",$L48)),FALSE))), 0, AP$24-$I48 =7, (7-(AP$24-1-$I48))/6, AP$24-$I48 =8, (7-(AP$24-2-$I48))/6*2/3, AP$24-$I48 =9, (7-(AP$24-3-$I48))/6*1/3, TRUE, 0) *
IF(ISNUMBER(SEARCH("Ordinance",$L48)),7/6,1) *
IF(OR(ISNUMBER(SEARCH("Melee",$L48)),ISNUMBER(SEARCH("Bypass",$L48))),1.5,1)</f>
        <v>0.27777777777777779</v>
      </c>
      <c r="AQ48" s="17" cm="1">
        <f t="array" ref="AQ48">$H48 *
IF(ISNUMBER(SEARCH("Rapid",$L48)),7/6,1) *
IF(OR(ISNUMBER(SEARCH("Beam",$L48)),ISNUMBER(SEARCH("Firestorm",$L48))),1, IF(ISNUMBER(SEARCH("Blast",$L48)),(4+$G48+(2-$G48)*0.5)/6*2,(4+$G48)/6)) *
_xlfn.IFS(AQ$24-$I48 &lt;=1, 5/6, AQ$24-$I48 &lt;=5, (7-(AQ$24-$I48))/6, AND(AQ$24-$I48 =6,NOT(_xlfn.IFNA(ISNUMBER(SEARCH("Rending",$L48)),FALSE))), (7-(AQ$24-$I48))/6, AND(AQ$24-$I48 &gt;=7,NOT(_xlfn.IFNA(ISNUMBER(SEARCH("Rending",$L48)),FALSE))), 0, AQ$24-$I48 =7, (7-(AQ$24-1-$I48))/6, AQ$24-$I48 =8, (7-(AQ$24-2-$I48))/6*2/3, AQ$24-$I48 =9, (7-(AQ$24-3-$I48))/6*1/3, TRUE, 0) *
IF(ISNUMBER(SEARCH("Ordinance",$L48)),7/6,1) *
IF(OR(ISNUMBER(SEARCH("Melee",$L48)),ISNUMBER(SEARCH("Bypass",$L48))),1.5,1)</f>
        <v>0</v>
      </c>
      <c r="AS48" s="16">
        <f t="shared" si="8"/>
        <v>0.55555555555555558</v>
      </c>
      <c r="AT48" s="16">
        <f t="shared" si="8"/>
        <v>0.83333333333333337</v>
      </c>
      <c r="AU48" s="16">
        <f>IF(D48+E48=3,
 IF(E48=3, 2.5*AI48,
  IF(E48=2, 1.8*AI48+0.7*X48,
   IF(E48=1, 0.95*AI48+1.55*X48,
    2.5*X48))),
 IF(D48+E48=2,
  IF(E48=2, 1.55*AI48,
   IF(E48 =1, 0.85*AI48+0.7*X48,
    1.55*X48)),
  IF(E48=1, 0.95*AI48,
   0.7*X48))
)/3</f>
        <v>1.2291666666666667</v>
      </c>
      <c r="AV48" s="2">
        <v>12</v>
      </c>
    </row>
    <row r="49" spans="1:48" x14ac:dyDescent="0.3">
      <c r="A49" t="s">
        <v>381</v>
      </c>
      <c r="B49" s="3">
        <v>30</v>
      </c>
      <c r="C49" s="3">
        <v>60</v>
      </c>
      <c r="D49" s="3">
        <v>2</v>
      </c>
      <c r="E49" s="3">
        <v>1</v>
      </c>
      <c r="F49" s="10">
        <v>1</v>
      </c>
      <c r="H49" s="3">
        <v>1</v>
      </c>
      <c r="I49" s="3">
        <v>7</v>
      </c>
      <c r="J49" s="3" t="s">
        <v>453</v>
      </c>
      <c r="K49" s="3">
        <v>45</v>
      </c>
      <c r="L49" s="3" t="s">
        <v>454</v>
      </c>
      <c r="M49" s="3" t="s">
        <v>199</v>
      </c>
      <c r="N49" s="3">
        <v>10</v>
      </c>
      <c r="O49" s="52">
        <v>10</v>
      </c>
      <c r="P49" s="52">
        <v>14</v>
      </c>
      <c r="Q49" s="52" t="s">
        <v>200</v>
      </c>
      <c r="R49" s="52">
        <v>7</v>
      </c>
      <c r="S49" s="52">
        <v>9</v>
      </c>
      <c r="T49" s="52">
        <v>4</v>
      </c>
      <c r="V49" s="16">
        <f t="shared" si="1"/>
        <v>0</v>
      </c>
      <c r="W49" s="16">
        <f t="shared" si="2"/>
        <v>0</v>
      </c>
      <c r="X49" s="17" cm="1">
        <f t="array" ref="X49">$H49 *
IF(ISNUMBER(SEARCH("Rapid",$L49)),7/6,1) *
IF(OR(ISNUMBER(SEARCH("Beam",$L49)),ISNUMBER(SEARCH("Firestorm",$L49))),1, IF(ISNUMBER(SEARCH("Blast",$L49)),(4+$F49+(2-$F49)*0.5)/6*2,(4+$F49)/6)) *
IF(ISNUMBER(SEARCH("Fusion",$L49)), _xlfn.IFS(X$24-$I49 &lt;=1, 9/10, X$24-$I49 &lt;=10,(11-(X$24-$I49))/10, X$24-$I49 &gt;=11, 0),
_xlfn.IFS(X$24-$I49 &lt;=1, 5/6, X$24-$I49 &lt;=5, (7-(X$24-$I49))/6, AND(X$24-$I49 =6,NOT(_xlfn.IFNA(ISNUMBER(SEARCH("Rending",$L49)),FALSE))), (7-(X$24-$I49))/6, AND(X$24-$I49 &gt;=7,NOT(_xlfn.IFNA(ISNUMBER(SEARCH("Rending",$L49)),FALSE))), 0, X$24-$I49 =7, (7-(X$24-1-$I49))/6, X$24-$I49 =8, (7-(X$24-2-$I49))/6*2/3, X$24-$I49 =9, (7-(X$24-3-$I49))/6*1/3, TRUE, 0)) *
IF(ISNUMBER(SEARCH("Ordinance",$L49)),7/6,1) *
IF(OR(ISNUMBER(SEARCH("Melee",$L49)),ISNUMBER(SEARCH("Bypass",$L49))),1.5,1)</f>
        <v>1.0416666666666667</v>
      </c>
      <c r="Y49" s="17" cm="1">
        <f t="array" ref="Y49">$H49 *
IF(ISNUMBER(SEARCH("Rapid",$L49)),7/6,1) *
IF(OR(ISNUMBER(SEARCH("Beam",$L49)),ISNUMBER(SEARCH("Firestorm",$L49))),1, IF(ISNUMBER(SEARCH("Blast",$L49)),(4+$F49+(2-$F49)*0.5)/6*2,(4+$F49)/6)) *
IF(ISNUMBER(SEARCH("Fusion",$L49)), _xlfn.IFS(Y$24-$I49 &lt;=1, 9/10, Y$24-$I49 &lt;=10,(11-(Y$24-$I49))/10, Y$24-$I49 &gt;=11, 0),
_xlfn.IFS(Y$24-$I49 &lt;=1, 5/6, Y$24-$I49 &lt;=5, (7-(Y$24-$I49))/6, AND(Y$24-$I49 =6,NOT(_xlfn.IFNA(ISNUMBER(SEARCH("Rending",$L49)),FALSE))), (7-(Y$24-$I49))/6, AND(Y$24-$I49 &gt;=7,NOT(_xlfn.IFNA(ISNUMBER(SEARCH("Rending",$L49)),FALSE))), 0, Y$24-$I49 =7, (7-(Y$24-1-$I49))/6, Y$24-$I49 =8, (7-(Y$24-2-$I49))/6*2/3, Y$24-$I49 =9, (7-(Y$24-3-$I49))/6*1/3, TRUE, 0)) *
IF(ISNUMBER(SEARCH("Ordinance",$L49)),7/6,1) *
IF(OR(ISNUMBER(SEARCH("Melee",$L49)),ISNUMBER(SEARCH("Bypass",$L49))),1.5,1)</f>
        <v>0.83333333333333337</v>
      </c>
      <c r="Z49" s="17" cm="1">
        <f t="array" ref="Z49">$H49 *
IF(ISNUMBER(SEARCH("Rapid",$L49)),7/6,1) *
IF(OR(ISNUMBER(SEARCH("Beam",$L49)),ISNUMBER(SEARCH("Firestorm",$L49))),1, IF(ISNUMBER(SEARCH("Blast",$L49)),(4+$F49+(2-$F49)*0.5)/6*2,(4+$F49)/6)) *
IF(ISNUMBER(SEARCH("Fusion",$L49)), _xlfn.IFS(Z$24-$I49 &lt;=1, 9/10, Z$24-$I49 &lt;=10,(11-(Z$24-$I49))/10, Z$24-$I49 &gt;=11, 0),
_xlfn.IFS(Z$24-$I49 &lt;=1, 5/6, Z$24-$I49 &lt;=5, (7-(Z$24-$I49))/6, AND(Z$24-$I49 =6,NOT(_xlfn.IFNA(ISNUMBER(SEARCH("Rending",$L49)),FALSE))), (7-(Z$24-$I49))/6, AND(Z$24-$I49 &gt;=7,NOT(_xlfn.IFNA(ISNUMBER(SEARCH("Rending",$L49)),FALSE))), 0, Z$24-$I49 =7, (7-(Z$24-1-$I49))/6, Z$24-$I49 =8, (7-(Z$24-2-$I49))/6*2/3, Z$24-$I49 =9, (7-(Z$24-3-$I49))/6*1/3, TRUE, 0)) *
IF(ISNUMBER(SEARCH("Ordinance",$L49)),7/6,1) *
IF(OR(ISNUMBER(SEARCH("Melee",$L49)),ISNUMBER(SEARCH("Bypass",$L49))),1.5,1)</f>
        <v>0.625</v>
      </c>
      <c r="AA49" s="17" cm="1">
        <f t="array" ref="AA49">$H49 *
IF(ISNUMBER(SEARCH("Rapid",$L49)),7/6,1) *
IF(OR(ISNUMBER(SEARCH("Beam",$L49)),ISNUMBER(SEARCH("Firestorm",$L49))),1, IF(ISNUMBER(SEARCH("Blast",$L49)),(4+$F49+(2-$F49)*0.5)/6*2,(4+$F49)/6)) *
IF(ISNUMBER(SEARCH("Fusion",$L49)), _xlfn.IFS(AA$24-$I49 &lt;=1, 9/10, AA$24-$I49 &lt;=10,(11-(AA$24-$I49))/10, AA$24-$I49 &gt;=11, 0),
_xlfn.IFS(AA$24-$I49 &lt;=1, 5/6, AA$24-$I49 &lt;=5, (7-(AA$24-$I49))/6, AND(AA$24-$I49 =6,NOT(_xlfn.IFNA(ISNUMBER(SEARCH("Rending",$L49)),FALSE))), (7-(AA$24-$I49))/6, AND(AA$24-$I49 &gt;=7,NOT(_xlfn.IFNA(ISNUMBER(SEARCH("Rending",$L49)),FALSE))), 0, AA$24-$I49 =7, (7-(AA$24-1-$I49))/6, AA$24-$I49 =8, (7-(AA$24-2-$I49))/6*2/3, AA$24-$I49 =9, (7-(AA$24-3-$I49))/6*1/3, TRUE, 0)) *
IF(ISNUMBER(SEARCH("Ordinance",$L49)),7/6,1) *
IF(OR(ISNUMBER(SEARCH("Melee",$L49)),ISNUMBER(SEARCH("Bypass",$L49))),1.5,1)</f>
        <v>0.41666666666666669</v>
      </c>
      <c r="AB49" s="17" cm="1">
        <f t="array" ref="AB49">$H49 *
IF(ISNUMBER(SEARCH("Rapid",$L49)),7/6,1) *
IF(OR(ISNUMBER(SEARCH("Beam",$L49)),ISNUMBER(SEARCH("Firestorm",$L49))),1, IF(ISNUMBER(SEARCH("Blast",$L49)),(4+$F49+(2-$F49)*0.5)/6*2,(4+$F49)/6)) *
IF(ISNUMBER(SEARCH("Fusion",$L49)), _xlfn.IFS(AB$24-$I49 &lt;=1, 9/10, AB$24-$I49 &lt;=10,(11-(AB$24-$I49))/10, AB$24-$I49 &gt;=11, 0),
_xlfn.IFS(AB$24-$I49 &lt;=1, 5/6, AB$24-$I49 &lt;=5, (7-(AB$24-$I49))/6, AND(AB$24-$I49 =6,NOT(_xlfn.IFNA(ISNUMBER(SEARCH("Rending",$L49)),FALSE))), (7-(AB$24-$I49))/6, AND(AB$24-$I49 &gt;=7,NOT(_xlfn.IFNA(ISNUMBER(SEARCH("Rending",$L49)),FALSE))), 0, AB$24-$I49 =7, (7-(AB$24-1-$I49))/6, AB$24-$I49 =8, (7-(AB$24-2-$I49))/6*2/3, AB$24-$I49 =9, (7-(AB$24-3-$I49))/6*1/3, TRUE, 0)) *
IF(ISNUMBER(SEARCH("Ordinance",$L49)),7/6,1) *
IF(OR(ISNUMBER(SEARCH("Melee",$L49)),ISNUMBER(SEARCH("Bypass",$L49))),1.5,1)</f>
        <v>0.20833333333333334</v>
      </c>
      <c r="AC49" s="17" cm="1">
        <f t="array" ref="AC49">$H49 *
IF(ISNUMBER(SEARCH("Rapid",$L49)),7/6,1) *
IF(OR(ISNUMBER(SEARCH("Beam",$L49)),ISNUMBER(SEARCH("Firestorm",$L49))),1, IF(ISNUMBER(SEARCH("Blast",$L49)),(4+$F49+(2-$F49)*0.5)/6*2,(4+$F49)/6)) *
IF(ISNUMBER(SEARCH("Fusion",$L49)), _xlfn.IFS(AC$24-$I49 &lt;=1, 9/10, AC$24-$I49 &lt;=10,(11-(AC$24-$I49))/10, AC$24-$I49 &gt;=11, 0),
_xlfn.IFS(AC$24-$I49 &lt;=1, 5/6, AC$24-$I49 &lt;=5, (7-(AC$24-$I49))/6, AND(AC$24-$I49 =6,NOT(_xlfn.IFNA(ISNUMBER(SEARCH("Rending",$L49)),FALSE))), (7-(AC$24-$I49))/6, AND(AC$24-$I49 &gt;=7,NOT(_xlfn.IFNA(ISNUMBER(SEARCH("Rending",$L49)),FALSE))), 0, AC$24-$I49 =7, (7-(AC$24-1-$I49))/6, AC$24-$I49 =8, (7-(AC$24-2-$I49))/6*2/3, AC$24-$I49 =9, (7-(AC$24-3-$I49))/6*1/3, TRUE, 0)) *
IF(ISNUMBER(SEARCH("Ordinance",$L49)),7/6,1) *
IF(OR(ISNUMBER(SEARCH("Melee",$L49)),ISNUMBER(SEARCH("Bypass",$L49))),1.5,1)</f>
        <v>0</v>
      </c>
      <c r="AD49" s="17" cm="1">
        <f t="array" ref="AD49">$H49 *
IF(ISNUMBER(SEARCH("Rapid",$L49)),7/6,1) *
IF(OR(ISNUMBER(SEARCH("Beam",$L49)),ISNUMBER(SEARCH("Firestorm",$L49))),1, IF(ISNUMBER(SEARCH("Blast",$L49)),(4+$F49+(2-$F49)*0.5)/6*2,(4+$F49)/6)) *
IF(ISNUMBER(SEARCH("Fusion",$L49)), _xlfn.IFS(AD$24-$I49 &lt;=1, 9/10, AD$24-$I49 &lt;=10,(11-(AD$24-$I49))/10, AD$24-$I49 &gt;=11, 0),
_xlfn.IFS(AD$24-$I49 &lt;=1, 5/6, AD$24-$I49 &lt;=5, (7-(AD$24-$I49))/6, AND(AD$24-$I49 =6,NOT(_xlfn.IFNA(ISNUMBER(SEARCH("Rending",$L49)),FALSE))), (7-(AD$24-$I49))/6, AND(AD$24-$I49 &gt;=7,NOT(_xlfn.IFNA(ISNUMBER(SEARCH("Rending",$L49)),FALSE))), 0, AD$24-$I49 =7, (7-(AD$24-1-$I49))/6, AD$24-$I49 =8, (7-(AD$24-2-$I49))/6*2/3, AD$24-$I49 =9, (7-(AD$24-3-$I49))/6*1/3, TRUE, 0)) *
IF(ISNUMBER(SEARCH("Ordinance",$L49)),7/6,1) *
IF(OR(ISNUMBER(SEARCH("Melee",$L49)),ISNUMBER(SEARCH("Bypass",$L49))),1.5,1)</f>
        <v>0</v>
      </c>
      <c r="AE49" s="17" cm="1">
        <f t="array" ref="AE49">$H49 *
IF(ISNUMBER(SEARCH("Rapid",$L49)),7/6,1) *
IF(OR(ISNUMBER(SEARCH("Beam",$L49)),ISNUMBER(SEARCH("Firestorm",$L49))),1, IF(ISNUMBER(SEARCH("Blast",$L49)),(4+$F49+(2-$F49)*0.5)/6*2,(4+$F49)/6)) *
IF(ISNUMBER(SEARCH("Fusion",$L49)), _xlfn.IFS(AE$24-$I49 &lt;=1, 9/10, AE$24-$I49 &lt;=10,(11-(AE$24-$I49))/10, AE$24-$I49 &gt;=11, 0),
_xlfn.IFS(AE$24-$I49 &lt;=1, 5/6, AE$24-$I49 &lt;=5, (7-(AE$24-$I49))/6, AND(AE$24-$I49 =6,NOT(_xlfn.IFNA(ISNUMBER(SEARCH("Rending",$L49)),FALSE))), (7-(AE$24-$I49))/6, AND(AE$24-$I49 &gt;=7,NOT(_xlfn.IFNA(ISNUMBER(SEARCH("Rending",$L49)),FALSE))), 0, AE$24-$I49 =7, (7-(AE$24-1-$I49))/6, AE$24-$I49 =8, (7-(AE$24-2-$I49))/6*2/3, AE$24-$I49 =9, (7-(AE$24-3-$I49))/6*1/3, TRUE, 0)) *
IF(ISNUMBER(SEARCH("Ordinance",$L49)),7/6,1) *
IF(OR(ISNUMBER(SEARCH("Melee",$L49)),ISNUMBER(SEARCH("Bypass",$L49))),1.5,1)</f>
        <v>0</v>
      </c>
      <c r="AF49" s="17" cm="1">
        <f t="array" ref="AF49">$H49 *
IF(ISNUMBER(SEARCH("Rapid",$L49)),7/6,1) *
IF(OR(ISNUMBER(SEARCH("Beam",$L49)),ISNUMBER(SEARCH("Firestorm",$L49))),1, IF(ISNUMBER(SEARCH("Blast",$L49)),(4+$F49+(2-$F49)*0.5)/6*2,(4+$F49)/6)) *
IF(ISNUMBER(SEARCH("Fusion",$L49)), _xlfn.IFS(AF$24-$I49 &lt;=1, 9/10, AF$24-$I49 &lt;=10,(11-(AF$24-$I49))/10, AF$24-$I49 &gt;=11, 0),
_xlfn.IFS(AF$24-$I49 &lt;=1, 5/6, AF$24-$I49 &lt;=5, (7-(AF$24-$I49))/6, AND(AF$24-$I49 =6,NOT(_xlfn.IFNA(ISNUMBER(SEARCH("Rending",$L49)),FALSE))), (7-(AF$24-$I49))/6, AND(AF$24-$I49 &gt;=7,NOT(_xlfn.IFNA(ISNUMBER(SEARCH("Rending",$L49)),FALSE))), 0, AF$24-$I49 =7, (7-(AF$24-1-$I49))/6, AF$24-$I49 =8, (7-(AF$24-2-$I49))/6*2/3, AF$24-$I49 =9, (7-(AF$24-3-$I49))/6*1/3, TRUE, 0)) *
IF(ISNUMBER(SEARCH("Ordinance",$L49)),7/6,1) *
IF(OR(ISNUMBER(SEARCH("Melee",$L49)),ISNUMBER(SEARCH("Bypass",$L49))),1.5,1)</f>
        <v>0</v>
      </c>
      <c r="AG49" s="16">
        <f t="shared" si="3"/>
        <v>0</v>
      </c>
      <c r="AH49" s="16">
        <f t="shared" si="4"/>
        <v>0</v>
      </c>
      <c r="AI49" s="17" cm="1">
        <f t="array" ref="AI49">$H49 *
IF(ISNUMBER(SEARCH("Rapid",$L49)),7/6,1) *
IF(OR(ISNUMBER(SEARCH("Beam",$L49)),ISNUMBER(SEARCH("Firestorm",$L49))),1, IF(ISNUMBER(SEARCH("Blast",$L49)),(4+$G49+(2-$G49)*0.5)/6*2,(4+$G49)/6)) *
_xlfn.IFS(AI$24-$I49 &lt;=1, 5/6, AI$24-$I49 &lt;=5, (7-(AI$24-$I49))/6, AND(AI$24-$I49 =6,NOT(_xlfn.IFNA(ISNUMBER(SEARCH("Rending",$L49)),FALSE))), (7-(AI$24-$I49))/6, AND(AI$24-$I49 &gt;=7,NOT(_xlfn.IFNA(ISNUMBER(SEARCH("Rending",$L49)),FALSE))), 0, AI$24-$I49 =7, (7-(AI$24-1-$I49))/6, AI$24-$I49 =8, (7-(AI$24-2-$I49))/6*2/3, AI$24-$I49 =9, (7-(AI$24-3-$I49))/6*1/3, TRUE, 0) *
IF(ISNUMBER(SEARCH("Ordinance",$L49)),7/6,1) *
IF(OR(ISNUMBER(SEARCH("Melee",$L49)),ISNUMBER(SEARCH("Bypass",$L49))),1.5,1)</f>
        <v>0.83333333333333337</v>
      </c>
      <c r="AJ49" s="17" cm="1">
        <f t="array" ref="AJ49">$H49 *
IF(ISNUMBER(SEARCH("Rapid",$L49)),7/6,1) *
IF(OR(ISNUMBER(SEARCH("Beam",$L49)),ISNUMBER(SEARCH("Firestorm",$L49))),1, IF(ISNUMBER(SEARCH("Blast",$L49)),(4+$G49+(2-$G49)*0.5)/6*2,(4+$G49)/6)) *
_xlfn.IFS(AJ$24-$I49 &lt;=1, 5/6, AJ$24-$I49 &lt;=5, (7-(AJ$24-$I49))/6, AND(AJ$24-$I49 =6,NOT(_xlfn.IFNA(ISNUMBER(SEARCH("Rending",$L49)),FALSE))), (7-(AJ$24-$I49))/6, AND(AJ$24-$I49 &gt;=7,NOT(_xlfn.IFNA(ISNUMBER(SEARCH("Rending",$L49)),FALSE))), 0, AJ$24-$I49 =7, (7-(AJ$24-1-$I49))/6, AJ$24-$I49 =8, (7-(AJ$24-2-$I49))/6*2/3, AJ$24-$I49 =9, (7-(AJ$24-3-$I49))/6*1/3, TRUE, 0) *
IF(ISNUMBER(SEARCH("Ordinance",$L49)),7/6,1) *
IF(OR(ISNUMBER(SEARCH("Melee",$L49)),ISNUMBER(SEARCH("Bypass",$L49))),1.5,1)</f>
        <v>0.66666666666666663</v>
      </c>
      <c r="AK49" s="17" cm="1">
        <f t="array" ref="AK49">$H49 *
IF(ISNUMBER(SEARCH("Rapid",$L49)),7/6,1) *
IF(OR(ISNUMBER(SEARCH("Beam",$L49)),ISNUMBER(SEARCH("Firestorm",$L49))),1, IF(ISNUMBER(SEARCH("Blast",$L49)),(4+$G49+(2-$G49)*0.5)/6*2,(4+$G49)/6)) *
_xlfn.IFS(AK$24-$I49 &lt;=1, 5/6, AK$24-$I49 &lt;=5, (7-(AK$24-$I49))/6, AND(AK$24-$I49 =6,NOT(_xlfn.IFNA(ISNUMBER(SEARCH("Rending",$L49)),FALSE))), (7-(AK$24-$I49))/6, AND(AK$24-$I49 &gt;=7,NOT(_xlfn.IFNA(ISNUMBER(SEARCH("Rending",$L49)),FALSE))), 0, AK$24-$I49 =7, (7-(AK$24-1-$I49))/6, AK$24-$I49 =8, (7-(AK$24-2-$I49))/6*2/3, AK$24-$I49 =9, (7-(AK$24-3-$I49))/6*1/3, TRUE, 0) *
IF(ISNUMBER(SEARCH("Ordinance",$L49)),7/6,1) *
IF(OR(ISNUMBER(SEARCH("Melee",$L49)),ISNUMBER(SEARCH("Bypass",$L49))),1.5,1)</f>
        <v>0.5</v>
      </c>
      <c r="AL49" s="17" cm="1">
        <f t="array" ref="AL49">$H49 *
IF(ISNUMBER(SEARCH("Rapid",$L49)),7/6,1) *
IF(OR(ISNUMBER(SEARCH("Beam",$L49)),ISNUMBER(SEARCH("Firestorm",$L49))),1, IF(ISNUMBER(SEARCH("Blast",$L49)),(4+$G49+(2-$G49)*0.5)/6*2,(4+$G49)/6)) *
_xlfn.IFS(AL$24-$I49 &lt;=1, 5/6, AL$24-$I49 &lt;=5, (7-(AL$24-$I49))/6, AND(AL$24-$I49 =6,NOT(_xlfn.IFNA(ISNUMBER(SEARCH("Rending",$L49)),FALSE))), (7-(AL$24-$I49))/6, AND(AL$24-$I49 &gt;=7,NOT(_xlfn.IFNA(ISNUMBER(SEARCH("Rending",$L49)),FALSE))), 0, AL$24-$I49 =7, (7-(AL$24-1-$I49))/6, AL$24-$I49 =8, (7-(AL$24-2-$I49))/6*2/3, AL$24-$I49 =9, (7-(AL$24-3-$I49))/6*1/3, TRUE, 0) *
IF(ISNUMBER(SEARCH("Ordinance",$L49)),7/6,1) *
IF(OR(ISNUMBER(SEARCH("Melee",$L49)),ISNUMBER(SEARCH("Bypass",$L49))),1.5,1)</f>
        <v>0.33333333333333331</v>
      </c>
      <c r="AM49" s="17" cm="1">
        <f t="array" ref="AM49">$H49 *
IF(ISNUMBER(SEARCH("Rapid",$L49)),7/6,1) *
IF(OR(ISNUMBER(SEARCH("Beam",$L49)),ISNUMBER(SEARCH("Firestorm",$L49))),1, IF(ISNUMBER(SEARCH("Blast",$L49)),(4+$G49+(2-$G49)*0.5)/6*2,(4+$G49)/6)) *
_xlfn.IFS(AM$24-$I49 &lt;=1, 5/6, AM$24-$I49 &lt;=5, (7-(AM$24-$I49))/6, AND(AM$24-$I49 =6,NOT(_xlfn.IFNA(ISNUMBER(SEARCH("Rending",$L49)),FALSE))), (7-(AM$24-$I49))/6, AND(AM$24-$I49 &gt;=7,NOT(_xlfn.IFNA(ISNUMBER(SEARCH("Rending",$L49)),FALSE))), 0, AM$24-$I49 =7, (7-(AM$24-1-$I49))/6, AM$24-$I49 =8, (7-(AM$24-2-$I49))/6*2/3, AM$24-$I49 =9, (7-(AM$24-3-$I49))/6*1/3, TRUE, 0) *
IF(ISNUMBER(SEARCH("Ordinance",$L49)),7/6,1) *
IF(OR(ISNUMBER(SEARCH("Melee",$L49)),ISNUMBER(SEARCH("Bypass",$L49))),1.5,1)</f>
        <v>0.16666666666666666</v>
      </c>
      <c r="AN49" s="17" cm="1">
        <f t="array" ref="AN49">$H49 *
IF(ISNUMBER(SEARCH("Rapid",$L49)),7/6,1) *
IF(OR(ISNUMBER(SEARCH("Beam",$L49)),ISNUMBER(SEARCH("Firestorm",$L49))),1, IF(ISNUMBER(SEARCH("Blast",$L49)),(4+$G49+(2-$G49)*0.5)/6*2,(4+$G49)/6)) *
_xlfn.IFS(AN$24-$I49 &lt;=1, 5/6, AN$24-$I49 &lt;=5, (7-(AN$24-$I49))/6, AND(AN$24-$I49 =6,NOT(_xlfn.IFNA(ISNUMBER(SEARCH("Rending",$L49)),FALSE))), (7-(AN$24-$I49))/6, AND(AN$24-$I49 &gt;=7,NOT(_xlfn.IFNA(ISNUMBER(SEARCH("Rending",$L49)),FALSE))), 0, AN$24-$I49 =7, (7-(AN$24-1-$I49))/6, AN$24-$I49 =8, (7-(AN$24-2-$I49))/6*2/3, AN$24-$I49 =9, (7-(AN$24-3-$I49))/6*1/3, TRUE, 0) *
IF(ISNUMBER(SEARCH("Ordinance",$L49)),7/6,1) *
IF(OR(ISNUMBER(SEARCH("Melee",$L49)),ISNUMBER(SEARCH("Bypass",$L49))),1.5,1)</f>
        <v>0</v>
      </c>
      <c r="AO49" s="17" cm="1">
        <f t="array" ref="AO49">$H49 *
IF(ISNUMBER(SEARCH("Rapid",$L49)),7/6,1) *
IF(OR(ISNUMBER(SEARCH("Beam",$L49)),ISNUMBER(SEARCH("Firestorm",$L49))),1, IF(ISNUMBER(SEARCH("Blast",$L49)),(4+$G49+(2-$G49)*0.5)/6*2,(4+$G49)/6)) *
_xlfn.IFS(AO$24-$I49 &lt;=1, 5/6, AO$24-$I49 &lt;=5, (7-(AO$24-$I49))/6, AND(AO$24-$I49 =6,NOT(_xlfn.IFNA(ISNUMBER(SEARCH("Rending",$L49)),FALSE))), (7-(AO$24-$I49))/6, AND(AO$24-$I49 &gt;=7,NOT(_xlfn.IFNA(ISNUMBER(SEARCH("Rending",$L49)),FALSE))), 0, AO$24-$I49 =7, (7-(AO$24-1-$I49))/6, AO$24-$I49 =8, (7-(AO$24-2-$I49))/6*2/3, AO$24-$I49 =9, (7-(AO$24-3-$I49))/6*1/3, TRUE, 0) *
IF(ISNUMBER(SEARCH("Ordinance",$L49)),7/6,1) *
IF(OR(ISNUMBER(SEARCH("Melee",$L49)),ISNUMBER(SEARCH("Bypass",$L49))),1.5,1)</f>
        <v>0</v>
      </c>
      <c r="AP49" s="17" cm="1">
        <f t="array" ref="AP49">$H49 *
IF(ISNUMBER(SEARCH("Rapid",$L49)),7/6,1) *
IF(OR(ISNUMBER(SEARCH("Beam",$L49)),ISNUMBER(SEARCH("Firestorm",$L49))),1, IF(ISNUMBER(SEARCH("Blast",$L49)),(4+$G49+(2-$G49)*0.5)/6*2,(4+$G49)/6)) *
_xlfn.IFS(AP$24-$I49 &lt;=1, 5/6, AP$24-$I49 &lt;=5, (7-(AP$24-$I49))/6, AND(AP$24-$I49 =6,NOT(_xlfn.IFNA(ISNUMBER(SEARCH("Rending",$L49)),FALSE))), (7-(AP$24-$I49))/6, AND(AP$24-$I49 &gt;=7,NOT(_xlfn.IFNA(ISNUMBER(SEARCH("Rending",$L49)),FALSE))), 0, AP$24-$I49 =7, (7-(AP$24-1-$I49))/6, AP$24-$I49 =8, (7-(AP$24-2-$I49))/6*2/3, AP$24-$I49 =9, (7-(AP$24-3-$I49))/6*1/3, TRUE, 0) *
IF(ISNUMBER(SEARCH("Ordinance",$L49)),7/6,1) *
IF(OR(ISNUMBER(SEARCH("Melee",$L49)),ISNUMBER(SEARCH("Bypass",$L49))),1.5,1)</f>
        <v>0</v>
      </c>
      <c r="AQ49" s="17" cm="1">
        <f t="array" ref="AQ49">$H49 *
IF(ISNUMBER(SEARCH("Rapid",$L49)),7/6,1) *
IF(OR(ISNUMBER(SEARCH("Beam",$L49)),ISNUMBER(SEARCH("Firestorm",$L49))),1, IF(ISNUMBER(SEARCH("Blast",$L49)),(4+$G49+(2-$G49)*0.5)/6*2,(4+$G49)/6)) *
_xlfn.IFS(AQ$24-$I49 &lt;=1, 5/6, AQ$24-$I49 &lt;=5, (7-(AQ$24-$I49))/6, AND(AQ$24-$I49 =6,NOT(_xlfn.IFNA(ISNUMBER(SEARCH("Rending",$L49)),FALSE))), (7-(AQ$24-$I49))/6, AND(AQ$24-$I49 &gt;=7,NOT(_xlfn.IFNA(ISNUMBER(SEARCH("Rending",$L49)),FALSE))), 0, AQ$24-$I49 =7, (7-(AQ$24-1-$I49))/6, AQ$24-$I49 =8, (7-(AQ$24-2-$I49))/6*2/3, AQ$24-$I49 =9, (7-(AQ$24-3-$I49))/6*1/3, TRUE, 0) *
IF(ISNUMBER(SEARCH("Ordinance",$L49)),7/6,1) *
IF(OR(ISNUMBER(SEARCH("Melee",$L49)),ISNUMBER(SEARCH("Bypass",$L49))),1.5,1)</f>
        <v>0</v>
      </c>
      <c r="AS49" s="16">
        <f t="shared" si="8"/>
        <v>0</v>
      </c>
      <c r="AT49" s="16">
        <f t="shared" si="8"/>
        <v>0</v>
      </c>
      <c r="AU49" s="16">
        <f>IF(D49+E49=3,
 IF(E49=3, 2.5*AI49,
  IF(E49=2, 1.8*AI49+0.7*X49,
   IF(E49=1, 0.95*AI49+1.55*X49,
    2.5*X49))),
 IF(D49+E49=2,
  IF(E49=2, 1.55*AI49,
   IF(E49 =1, 0.85*AI49+0.7*X49,
    1.55*X49)),
  IF(E49=1, 0.95*AI49,
   0.7*X49))
)/3</f>
        <v>0.80208333333333337</v>
      </c>
      <c r="AV49" s="2">
        <v>9</v>
      </c>
    </row>
    <row r="50" spans="1:48" x14ac:dyDescent="0.3">
      <c r="V50" s="16">
        <f t="shared" si="1"/>
        <v>0</v>
      </c>
      <c r="W50" s="16">
        <f t="shared" si="2"/>
        <v>0</v>
      </c>
      <c r="X50" s="17" cm="1">
        <f t="array" ref="X50">$H50 *
IF(ISNUMBER(SEARCH("Rapid",$L50)),7/6,1) *
IF(OR(ISNUMBER(SEARCH("Beam",$L50)),ISNUMBER(SEARCH("Firestorm",$L50))),1, IF(ISNUMBER(SEARCH("Blast",$L50)),(4+$F50+(2-$F50)*0.5)/6*2,(4+$F50)/6)) *
IF(ISNUMBER(SEARCH("Fusion",$L50)), _xlfn.IFS(X$24-$I50 &lt;=1, 9/10, X$24-$I50 &lt;=10,(11-(X$24-$I50))/10, X$24-$I50 &gt;=11, 0),
_xlfn.IFS(X$24-$I50 &lt;=1, 5/6, X$24-$I50 &lt;=5, (7-(X$24-$I50))/6, AND(X$24-$I50 =6,NOT(_xlfn.IFNA(ISNUMBER(SEARCH("Rending",$L50)),FALSE))), (7-(X$24-$I50))/6, AND(X$24-$I50 &gt;=7,NOT(_xlfn.IFNA(ISNUMBER(SEARCH("Rending",$L50)),FALSE))), 0, X$24-$I50 =7, (7-(X$24-1-$I50))/6, X$24-$I50 =8, (7-(X$24-2-$I50))/6*2/3, X$24-$I50 =9, (7-(X$24-3-$I50))/6*1/3, TRUE, 0)) *
IF(ISNUMBER(SEARCH("Ordinance",$L50)),7/6,1) *
IF(OR(ISNUMBER(SEARCH("Melee",$L50)),ISNUMBER(SEARCH("Bypass",$L50))),1.5,1)</f>
        <v>0</v>
      </c>
      <c r="Y50" s="17" cm="1">
        <f t="array" ref="Y50">$H50 *
IF(ISNUMBER(SEARCH("Rapid",$L50)),7/6,1) *
IF(OR(ISNUMBER(SEARCH("Beam",$L50)),ISNUMBER(SEARCH("Firestorm",$L50))),1, IF(ISNUMBER(SEARCH("Blast",$L50)),(4+$F50+(2-$F50)*0.5)/6*2,(4+$F50)/6)) *
IF(ISNUMBER(SEARCH("Fusion",$L50)), _xlfn.IFS(Y$24-$I50 &lt;=1, 9/10, Y$24-$I50 &lt;=10,(11-(Y$24-$I50))/10, Y$24-$I50 &gt;=11, 0),
_xlfn.IFS(Y$24-$I50 &lt;=1, 5/6, Y$24-$I50 &lt;=5, (7-(Y$24-$I50))/6, AND(Y$24-$I50 =6,NOT(_xlfn.IFNA(ISNUMBER(SEARCH("Rending",$L50)),FALSE))), (7-(Y$24-$I50))/6, AND(Y$24-$I50 &gt;=7,NOT(_xlfn.IFNA(ISNUMBER(SEARCH("Rending",$L50)),FALSE))), 0, Y$24-$I50 =7, (7-(Y$24-1-$I50))/6, Y$24-$I50 =8, (7-(Y$24-2-$I50))/6*2/3, Y$24-$I50 =9, (7-(Y$24-3-$I50))/6*1/3, TRUE, 0)) *
IF(ISNUMBER(SEARCH("Ordinance",$L50)),7/6,1) *
IF(OR(ISNUMBER(SEARCH("Melee",$L50)),ISNUMBER(SEARCH("Bypass",$L50))),1.5,1)</f>
        <v>0</v>
      </c>
      <c r="Z50" s="17" cm="1">
        <f t="array" ref="Z50">$H50 *
IF(ISNUMBER(SEARCH("Rapid",$L50)),7/6,1) *
IF(OR(ISNUMBER(SEARCH("Beam",$L50)),ISNUMBER(SEARCH("Firestorm",$L50))),1, IF(ISNUMBER(SEARCH("Blast",$L50)),(4+$F50+(2-$F50)*0.5)/6*2,(4+$F50)/6)) *
IF(ISNUMBER(SEARCH("Fusion",$L50)), _xlfn.IFS(Z$24-$I50 &lt;=1, 9/10, Z$24-$I50 &lt;=10,(11-(Z$24-$I50))/10, Z$24-$I50 &gt;=11, 0),
_xlfn.IFS(Z$24-$I50 &lt;=1, 5/6, Z$24-$I50 &lt;=5, (7-(Z$24-$I50))/6, AND(Z$24-$I50 =6,NOT(_xlfn.IFNA(ISNUMBER(SEARCH("Rending",$L50)),FALSE))), (7-(Z$24-$I50))/6, AND(Z$24-$I50 &gt;=7,NOT(_xlfn.IFNA(ISNUMBER(SEARCH("Rending",$L50)),FALSE))), 0, Z$24-$I50 =7, (7-(Z$24-1-$I50))/6, Z$24-$I50 =8, (7-(Z$24-2-$I50))/6*2/3, Z$24-$I50 =9, (7-(Z$24-3-$I50))/6*1/3, TRUE, 0)) *
IF(ISNUMBER(SEARCH("Ordinance",$L50)),7/6,1) *
IF(OR(ISNUMBER(SEARCH("Melee",$L50)),ISNUMBER(SEARCH("Bypass",$L50))),1.5,1)</f>
        <v>0</v>
      </c>
      <c r="AA50" s="17" cm="1">
        <f t="array" ref="AA50">$H50 *
IF(ISNUMBER(SEARCH("Rapid",$L50)),7/6,1) *
IF(OR(ISNUMBER(SEARCH("Beam",$L50)),ISNUMBER(SEARCH("Firestorm",$L50))),1, IF(ISNUMBER(SEARCH("Blast",$L50)),(4+$F50+(2-$F50)*0.5)/6*2,(4+$F50)/6)) *
IF(ISNUMBER(SEARCH("Fusion",$L50)), _xlfn.IFS(AA$24-$I50 &lt;=1, 9/10, AA$24-$I50 &lt;=10,(11-(AA$24-$I50))/10, AA$24-$I50 &gt;=11, 0),
_xlfn.IFS(AA$24-$I50 &lt;=1, 5/6, AA$24-$I50 &lt;=5, (7-(AA$24-$I50))/6, AND(AA$24-$I50 =6,NOT(_xlfn.IFNA(ISNUMBER(SEARCH("Rending",$L50)),FALSE))), (7-(AA$24-$I50))/6, AND(AA$24-$I50 &gt;=7,NOT(_xlfn.IFNA(ISNUMBER(SEARCH("Rending",$L50)),FALSE))), 0, AA$24-$I50 =7, (7-(AA$24-1-$I50))/6, AA$24-$I50 =8, (7-(AA$24-2-$I50))/6*2/3, AA$24-$I50 =9, (7-(AA$24-3-$I50))/6*1/3, TRUE, 0)) *
IF(ISNUMBER(SEARCH("Ordinance",$L50)),7/6,1) *
IF(OR(ISNUMBER(SEARCH("Melee",$L50)),ISNUMBER(SEARCH("Bypass",$L50))),1.5,1)</f>
        <v>0</v>
      </c>
      <c r="AB50" s="17" cm="1">
        <f t="array" ref="AB50">$H50 *
IF(ISNUMBER(SEARCH("Rapid",$L50)),7/6,1) *
IF(OR(ISNUMBER(SEARCH("Beam",$L50)),ISNUMBER(SEARCH("Firestorm",$L50))),1, IF(ISNUMBER(SEARCH("Blast",$L50)),(4+$F50+(2-$F50)*0.5)/6*2,(4+$F50)/6)) *
IF(ISNUMBER(SEARCH("Fusion",$L50)), _xlfn.IFS(AB$24-$I50 &lt;=1, 9/10, AB$24-$I50 &lt;=10,(11-(AB$24-$I50))/10, AB$24-$I50 &gt;=11, 0),
_xlfn.IFS(AB$24-$I50 &lt;=1, 5/6, AB$24-$I50 &lt;=5, (7-(AB$24-$I50))/6, AND(AB$24-$I50 =6,NOT(_xlfn.IFNA(ISNUMBER(SEARCH("Rending",$L50)),FALSE))), (7-(AB$24-$I50))/6, AND(AB$24-$I50 &gt;=7,NOT(_xlfn.IFNA(ISNUMBER(SEARCH("Rending",$L50)),FALSE))), 0, AB$24-$I50 =7, (7-(AB$24-1-$I50))/6, AB$24-$I50 =8, (7-(AB$24-2-$I50))/6*2/3, AB$24-$I50 =9, (7-(AB$24-3-$I50))/6*1/3, TRUE, 0)) *
IF(ISNUMBER(SEARCH("Ordinance",$L50)),7/6,1) *
IF(OR(ISNUMBER(SEARCH("Melee",$L50)),ISNUMBER(SEARCH("Bypass",$L50))),1.5,1)</f>
        <v>0</v>
      </c>
      <c r="AC50" s="17" cm="1">
        <f t="array" ref="AC50">$H50 *
IF(ISNUMBER(SEARCH("Rapid",$L50)),7/6,1) *
IF(OR(ISNUMBER(SEARCH("Beam",$L50)),ISNUMBER(SEARCH("Firestorm",$L50))),1, IF(ISNUMBER(SEARCH("Blast",$L50)),(4+$F50+(2-$F50)*0.5)/6*2,(4+$F50)/6)) *
IF(ISNUMBER(SEARCH("Fusion",$L50)), _xlfn.IFS(AC$24-$I50 &lt;=1, 9/10, AC$24-$I50 &lt;=10,(11-(AC$24-$I50))/10, AC$24-$I50 &gt;=11, 0),
_xlfn.IFS(AC$24-$I50 &lt;=1, 5/6, AC$24-$I50 &lt;=5, (7-(AC$24-$I50))/6, AND(AC$24-$I50 =6,NOT(_xlfn.IFNA(ISNUMBER(SEARCH("Rending",$L50)),FALSE))), (7-(AC$24-$I50))/6, AND(AC$24-$I50 &gt;=7,NOT(_xlfn.IFNA(ISNUMBER(SEARCH("Rending",$L50)),FALSE))), 0, AC$24-$I50 =7, (7-(AC$24-1-$I50))/6, AC$24-$I50 =8, (7-(AC$24-2-$I50))/6*2/3, AC$24-$I50 =9, (7-(AC$24-3-$I50))/6*1/3, TRUE, 0)) *
IF(ISNUMBER(SEARCH("Ordinance",$L50)),7/6,1) *
IF(OR(ISNUMBER(SEARCH("Melee",$L50)),ISNUMBER(SEARCH("Bypass",$L50))),1.5,1)</f>
        <v>0</v>
      </c>
      <c r="AD50" s="17" cm="1">
        <f t="array" ref="AD50">$H50 *
IF(ISNUMBER(SEARCH("Rapid",$L50)),7/6,1) *
IF(OR(ISNUMBER(SEARCH("Beam",$L50)),ISNUMBER(SEARCH("Firestorm",$L50))),1, IF(ISNUMBER(SEARCH("Blast",$L50)),(4+$F50+(2-$F50)*0.5)/6*2,(4+$F50)/6)) *
IF(ISNUMBER(SEARCH("Fusion",$L50)), _xlfn.IFS(AD$24-$I50 &lt;=1, 9/10, AD$24-$I50 &lt;=10,(11-(AD$24-$I50))/10, AD$24-$I50 &gt;=11, 0),
_xlfn.IFS(AD$24-$I50 &lt;=1, 5/6, AD$24-$I50 &lt;=5, (7-(AD$24-$I50))/6, AND(AD$24-$I50 =6,NOT(_xlfn.IFNA(ISNUMBER(SEARCH("Rending",$L50)),FALSE))), (7-(AD$24-$I50))/6, AND(AD$24-$I50 &gt;=7,NOT(_xlfn.IFNA(ISNUMBER(SEARCH("Rending",$L50)),FALSE))), 0, AD$24-$I50 =7, (7-(AD$24-1-$I50))/6, AD$24-$I50 =8, (7-(AD$24-2-$I50))/6*2/3, AD$24-$I50 =9, (7-(AD$24-3-$I50))/6*1/3, TRUE, 0)) *
IF(ISNUMBER(SEARCH("Ordinance",$L50)),7/6,1) *
IF(OR(ISNUMBER(SEARCH("Melee",$L50)),ISNUMBER(SEARCH("Bypass",$L50))),1.5,1)</f>
        <v>0</v>
      </c>
      <c r="AE50" s="17" cm="1">
        <f t="array" ref="AE50">$H50 *
IF(ISNUMBER(SEARCH("Rapid",$L50)),7/6,1) *
IF(OR(ISNUMBER(SEARCH("Beam",$L50)),ISNUMBER(SEARCH("Firestorm",$L50))),1, IF(ISNUMBER(SEARCH("Blast",$L50)),(4+$F50+(2-$F50)*0.5)/6*2,(4+$F50)/6)) *
IF(ISNUMBER(SEARCH("Fusion",$L50)), _xlfn.IFS(AE$24-$I50 &lt;=1, 9/10, AE$24-$I50 &lt;=10,(11-(AE$24-$I50))/10, AE$24-$I50 &gt;=11, 0),
_xlfn.IFS(AE$24-$I50 &lt;=1, 5/6, AE$24-$I50 &lt;=5, (7-(AE$24-$I50))/6, AND(AE$24-$I50 =6,NOT(_xlfn.IFNA(ISNUMBER(SEARCH("Rending",$L50)),FALSE))), (7-(AE$24-$I50))/6, AND(AE$24-$I50 &gt;=7,NOT(_xlfn.IFNA(ISNUMBER(SEARCH("Rending",$L50)),FALSE))), 0, AE$24-$I50 =7, (7-(AE$24-1-$I50))/6, AE$24-$I50 =8, (7-(AE$24-2-$I50))/6*2/3, AE$24-$I50 =9, (7-(AE$24-3-$I50))/6*1/3, TRUE, 0)) *
IF(ISNUMBER(SEARCH("Ordinance",$L50)),7/6,1) *
IF(OR(ISNUMBER(SEARCH("Melee",$L50)),ISNUMBER(SEARCH("Bypass",$L50))),1.5,1)</f>
        <v>0</v>
      </c>
      <c r="AF50" s="17" cm="1">
        <f t="array" ref="AF50">$H50 *
IF(ISNUMBER(SEARCH("Rapid",$L50)),7/6,1) *
IF(OR(ISNUMBER(SEARCH("Beam",$L50)),ISNUMBER(SEARCH("Firestorm",$L50))),1, IF(ISNUMBER(SEARCH("Blast",$L50)),(4+$F50+(2-$F50)*0.5)/6*2,(4+$F50)/6)) *
IF(ISNUMBER(SEARCH("Fusion",$L50)), _xlfn.IFS(AF$24-$I50 &lt;=1, 9/10, AF$24-$I50 &lt;=10,(11-(AF$24-$I50))/10, AF$24-$I50 &gt;=11, 0),
_xlfn.IFS(AF$24-$I50 &lt;=1, 5/6, AF$24-$I50 &lt;=5, (7-(AF$24-$I50))/6, AND(AF$24-$I50 =6,NOT(_xlfn.IFNA(ISNUMBER(SEARCH("Rending",$L50)),FALSE))), (7-(AF$24-$I50))/6, AND(AF$24-$I50 &gt;=7,NOT(_xlfn.IFNA(ISNUMBER(SEARCH("Rending",$L50)),FALSE))), 0, AF$24-$I50 =7, (7-(AF$24-1-$I50))/6, AF$24-$I50 =8, (7-(AF$24-2-$I50))/6*2/3, AF$24-$I50 =9, (7-(AF$24-3-$I50))/6*1/3, TRUE, 0)) *
IF(ISNUMBER(SEARCH("Ordinance",$L50)),7/6,1) *
IF(OR(ISNUMBER(SEARCH("Melee",$L50)),ISNUMBER(SEARCH("Bypass",$L50))),1.5,1)</f>
        <v>0</v>
      </c>
      <c r="AG50" s="16">
        <f t="shared" si="3"/>
        <v>0</v>
      </c>
      <c r="AH50" s="16">
        <f t="shared" si="4"/>
        <v>0</v>
      </c>
      <c r="AI50" s="17" cm="1">
        <f t="array" ref="AI50">$H50 *
IF(ISNUMBER(SEARCH("Rapid",$L50)),7/6,1) *
IF(OR(ISNUMBER(SEARCH("Beam",$L50)),ISNUMBER(SEARCH("Firestorm",$L50))),1, IF(ISNUMBER(SEARCH("Blast",$L50)),(4+$G50+(2-$G50)*0.5)/6*2,(4+$G50)/6)) *
_xlfn.IFS(AI$24-$I50 &lt;=1, 5/6, AI$24-$I50 &lt;=5, (7-(AI$24-$I50))/6, AND(AI$24-$I50 =6,NOT(_xlfn.IFNA(ISNUMBER(SEARCH("Rending",$L50)),FALSE))), (7-(AI$24-$I50))/6, AND(AI$24-$I50 &gt;=7,NOT(_xlfn.IFNA(ISNUMBER(SEARCH("Rending",$L50)),FALSE))), 0, AI$24-$I50 =7, (7-(AI$24-1-$I50))/6, AI$24-$I50 =8, (7-(AI$24-2-$I50))/6*2/3, AI$24-$I50 =9, (7-(AI$24-3-$I50))/6*1/3, TRUE, 0) *
IF(ISNUMBER(SEARCH("Ordinance",$L50)),7/6,1) *
IF(OR(ISNUMBER(SEARCH("Melee",$L50)),ISNUMBER(SEARCH("Bypass",$L50))),1.5,1)</f>
        <v>0</v>
      </c>
      <c r="AJ50" s="17" cm="1">
        <f t="array" ref="AJ50">$H50 *
IF(ISNUMBER(SEARCH("Rapid",$L50)),7/6,1) *
IF(OR(ISNUMBER(SEARCH("Beam",$L50)),ISNUMBER(SEARCH("Firestorm",$L50))),1, IF(ISNUMBER(SEARCH("Blast",$L50)),(4+$G50+(2-$G50)*0.5)/6*2,(4+$G50)/6)) *
_xlfn.IFS(AJ$24-$I50 &lt;=1, 5/6, AJ$24-$I50 &lt;=5, (7-(AJ$24-$I50))/6, AND(AJ$24-$I50 =6,NOT(_xlfn.IFNA(ISNUMBER(SEARCH("Rending",$L50)),FALSE))), (7-(AJ$24-$I50))/6, AND(AJ$24-$I50 &gt;=7,NOT(_xlfn.IFNA(ISNUMBER(SEARCH("Rending",$L50)),FALSE))), 0, AJ$24-$I50 =7, (7-(AJ$24-1-$I50))/6, AJ$24-$I50 =8, (7-(AJ$24-2-$I50))/6*2/3, AJ$24-$I50 =9, (7-(AJ$24-3-$I50))/6*1/3, TRUE, 0) *
IF(ISNUMBER(SEARCH("Ordinance",$L50)),7/6,1) *
IF(OR(ISNUMBER(SEARCH("Melee",$L50)),ISNUMBER(SEARCH("Bypass",$L50))),1.5,1)</f>
        <v>0</v>
      </c>
      <c r="AK50" s="17" cm="1">
        <f t="array" ref="AK50">$H50 *
IF(ISNUMBER(SEARCH("Rapid",$L50)),7/6,1) *
IF(OR(ISNUMBER(SEARCH("Beam",$L50)),ISNUMBER(SEARCH("Firestorm",$L50))),1, IF(ISNUMBER(SEARCH("Blast",$L50)),(4+$G50+(2-$G50)*0.5)/6*2,(4+$G50)/6)) *
_xlfn.IFS(AK$24-$I50 &lt;=1, 5/6, AK$24-$I50 &lt;=5, (7-(AK$24-$I50))/6, AND(AK$24-$I50 =6,NOT(_xlfn.IFNA(ISNUMBER(SEARCH("Rending",$L50)),FALSE))), (7-(AK$24-$I50))/6, AND(AK$24-$I50 &gt;=7,NOT(_xlfn.IFNA(ISNUMBER(SEARCH("Rending",$L50)),FALSE))), 0, AK$24-$I50 =7, (7-(AK$24-1-$I50))/6, AK$24-$I50 =8, (7-(AK$24-2-$I50))/6*2/3, AK$24-$I50 =9, (7-(AK$24-3-$I50))/6*1/3, TRUE, 0) *
IF(ISNUMBER(SEARCH("Ordinance",$L50)),7/6,1) *
IF(OR(ISNUMBER(SEARCH("Melee",$L50)),ISNUMBER(SEARCH("Bypass",$L50))),1.5,1)</f>
        <v>0</v>
      </c>
      <c r="AL50" s="17" cm="1">
        <f t="array" ref="AL50">$H50 *
IF(ISNUMBER(SEARCH("Rapid",$L50)),7/6,1) *
IF(OR(ISNUMBER(SEARCH("Beam",$L50)),ISNUMBER(SEARCH("Firestorm",$L50))),1, IF(ISNUMBER(SEARCH("Blast",$L50)),(4+$G50+(2-$G50)*0.5)/6*2,(4+$G50)/6)) *
_xlfn.IFS(AL$24-$I50 &lt;=1, 5/6, AL$24-$I50 &lt;=5, (7-(AL$24-$I50))/6, AND(AL$24-$I50 =6,NOT(_xlfn.IFNA(ISNUMBER(SEARCH("Rending",$L50)),FALSE))), (7-(AL$24-$I50))/6, AND(AL$24-$I50 &gt;=7,NOT(_xlfn.IFNA(ISNUMBER(SEARCH("Rending",$L50)),FALSE))), 0, AL$24-$I50 =7, (7-(AL$24-1-$I50))/6, AL$24-$I50 =8, (7-(AL$24-2-$I50))/6*2/3, AL$24-$I50 =9, (7-(AL$24-3-$I50))/6*1/3, TRUE, 0) *
IF(ISNUMBER(SEARCH("Ordinance",$L50)),7/6,1) *
IF(OR(ISNUMBER(SEARCH("Melee",$L50)),ISNUMBER(SEARCH("Bypass",$L50))),1.5,1)</f>
        <v>0</v>
      </c>
      <c r="AM50" s="17" cm="1">
        <f t="array" ref="AM50">$H50 *
IF(ISNUMBER(SEARCH("Rapid",$L50)),7/6,1) *
IF(OR(ISNUMBER(SEARCH("Beam",$L50)),ISNUMBER(SEARCH("Firestorm",$L50))),1, IF(ISNUMBER(SEARCH("Blast",$L50)),(4+$G50+(2-$G50)*0.5)/6*2,(4+$G50)/6)) *
_xlfn.IFS(AM$24-$I50 &lt;=1, 5/6, AM$24-$I50 &lt;=5, (7-(AM$24-$I50))/6, AND(AM$24-$I50 =6,NOT(_xlfn.IFNA(ISNUMBER(SEARCH("Rending",$L50)),FALSE))), (7-(AM$24-$I50))/6, AND(AM$24-$I50 &gt;=7,NOT(_xlfn.IFNA(ISNUMBER(SEARCH("Rending",$L50)),FALSE))), 0, AM$24-$I50 =7, (7-(AM$24-1-$I50))/6, AM$24-$I50 =8, (7-(AM$24-2-$I50))/6*2/3, AM$24-$I50 =9, (7-(AM$24-3-$I50))/6*1/3, TRUE, 0) *
IF(ISNUMBER(SEARCH("Ordinance",$L50)),7/6,1) *
IF(OR(ISNUMBER(SEARCH("Melee",$L50)),ISNUMBER(SEARCH("Bypass",$L50))),1.5,1)</f>
        <v>0</v>
      </c>
      <c r="AN50" s="17" cm="1">
        <f t="array" ref="AN50">$H50 *
IF(ISNUMBER(SEARCH("Rapid",$L50)),7/6,1) *
IF(OR(ISNUMBER(SEARCH("Beam",$L50)),ISNUMBER(SEARCH("Firestorm",$L50))),1, IF(ISNUMBER(SEARCH("Blast",$L50)),(4+$G50+(2-$G50)*0.5)/6*2,(4+$G50)/6)) *
_xlfn.IFS(AN$24-$I50 &lt;=1, 5/6, AN$24-$I50 &lt;=5, (7-(AN$24-$I50))/6, AND(AN$24-$I50 =6,NOT(_xlfn.IFNA(ISNUMBER(SEARCH("Rending",$L50)),FALSE))), (7-(AN$24-$I50))/6, AND(AN$24-$I50 &gt;=7,NOT(_xlfn.IFNA(ISNUMBER(SEARCH("Rending",$L50)),FALSE))), 0, AN$24-$I50 =7, (7-(AN$24-1-$I50))/6, AN$24-$I50 =8, (7-(AN$24-2-$I50))/6*2/3, AN$24-$I50 =9, (7-(AN$24-3-$I50))/6*1/3, TRUE, 0) *
IF(ISNUMBER(SEARCH("Ordinance",$L50)),7/6,1) *
IF(OR(ISNUMBER(SEARCH("Melee",$L50)),ISNUMBER(SEARCH("Bypass",$L50))),1.5,1)</f>
        <v>0</v>
      </c>
      <c r="AO50" s="17" cm="1">
        <f t="array" ref="AO50">$H50 *
IF(ISNUMBER(SEARCH("Rapid",$L50)),7/6,1) *
IF(OR(ISNUMBER(SEARCH("Beam",$L50)),ISNUMBER(SEARCH("Firestorm",$L50))),1, IF(ISNUMBER(SEARCH("Blast",$L50)),(4+$G50+(2-$G50)*0.5)/6*2,(4+$G50)/6)) *
_xlfn.IFS(AO$24-$I50 &lt;=1, 5/6, AO$24-$I50 &lt;=5, (7-(AO$24-$I50))/6, AND(AO$24-$I50 =6,NOT(_xlfn.IFNA(ISNUMBER(SEARCH("Rending",$L50)),FALSE))), (7-(AO$24-$I50))/6, AND(AO$24-$I50 &gt;=7,NOT(_xlfn.IFNA(ISNUMBER(SEARCH("Rending",$L50)),FALSE))), 0, AO$24-$I50 =7, (7-(AO$24-1-$I50))/6, AO$24-$I50 =8, (7-(AO$24-2-$I50))/6*2/3, AO$24-$I50 =9, (7-(AO$24-3-$I50))/6*1/3, TRUE, 0) *
IF(ISNUMBER(SEARCH("Ordinance",$L50)),7/6,1) *
IF(OR(ISNUMBER(SEARCH("Melee",$L50)),ISNUMBER(SEARCH("Bypass",$L50))),1.5,1)</f>
        <v>0</v>
      </c>
      <c r="AP50" s="17" cm="1">
        <f t="array" ref="AP50">$H50 *
IF(ISNUMBER(SEARCH("Rapid",$L50)),7/6,1) *
IF(OR(ISNUMBER(SEARCH("Beam",$L50)),ISNUMBER(SEARCH("Firestorm",$L50))),1, IF(ISNUMBER(SEARCH("Blast",$L50)),(4+$G50+(2-$G50)*0.5)/6*2,(4+$G50)/6)) *
_xlfn.IFS(AP$24-$I50 &lt;=1, 5/6, AP$24-$I50 &lt;=5, (7-(AP$24-$I50))/6, AND(AP$24-$I50 =6,NOT(_xlfn.IFNA(ISNUMBER(SEARCH("Rending",$L50)),FALSE))), (7-(AP$24-$I50))/6, AND(AP$24-$I50 &gt;=7,NOT(_xlfn.IFNA(ISNUMBER(SEARCH("Rending",$L50)),FALSE))), 0, AP$24-$I50 =7, (7-(AP$24-1-$I50))/6, AP$24-$I50 =8, (7-(AP$24-2-$I50))/6*2/3, AP$24-$I50 =9, (7-(AP$24-3-$I50))/6*1/3, TRUE, 0) *
IF(ISNUMBER(SEARCH("Ordinance",$L50)),7/6,1) *
IF(OR(ISNUMBER(SEARCH("Melee",$L50)),ISNUMBER(SEARCH("Bypass",$L50))),1.5,1)</f>
        <v>0</v>
      </c>
      <c r="AQ50" s="17" cm="1">
        <f t="array" ref="AQ50">$H50 *
IF(ISNUMBER(SEARCH("Rapid",$L50)),7/6,1) *
IF(OR(ISNUMBER(SEARCH("Beam",$L50)),ISNUMBER(SEARCH("Firestorm",$L50))),1, IF(ISNUMBER(SEARCH("Blast",$L50)),(4+$G50+(2-$G50)*0.5)/6*2,(4+$G50)/6)) *
_xlfn.IFS(AQ$24-$I50 &lt;=1, 5/6, AQ$24-$I50 &lt;=5, (7-(AQ$24-$I50))/6, AND(AQ$24-$I50 =6,NOT(_xlfn.IFNA(ISNUMBER(SEARCH("Rending",$L50)),FALSE))), (7-(AQ$24-$I50))/6, AND(AQ$24-$I50 &gt;=7,NOT(_xlfn.IFNA(ISNUMBER(SEARCH("Rending",$L50)),FALSE))), 0, AQ$24-$I50 =7, (7-(AQ$24-1-$I50))/6, AQ$24-$I50 =8, (7-(AQ$24-2-$I50))/6*2/3, AQ$24-$I50 =9, (7-(AQ$24-3-$I50))/6*1/3, TRUE, 0) *
IF(ISNUMBER(SEARCH("Ordinance",$L50)),7/6,1) *
IF(OR(ISNUMBER(SEARCH("Melee",$L50)),ISNUMBER(SEARCH("Bypass",$L50))),1.5,1)</f>
        <v>0</v>
      </c>
    </row>
    <row r="51" spans="1:48" x14ac:dyDescent="0.3">
      <c r="V51" s="16">
        <f t="shared" si="1"/>
        <v>0</v>
      </c>
      <c r="W51" s="16">
        <f t="shared" si="2"/>
        <v>0</v>
      </c>
      <c r="X51" s="17" cm="1">
        <f t="array" ref="X51">$H51 *
IF(ISNUMBER(SEARCH("Rapid",$L51)),7/6,1) *
IF(OR(ISNUMBER(SEARCH("Beam",$L51)),ISNUMBER(SEARCH("Firestorm",$L51))),1, IF(ISNUMBER(SEARCH("Blast",$L51)),(4+$F51+(2-$F51)*0.5)/6*2,(4+$F51)/6)) *
IF(ISNUMBER(SEARCH("Fusion",$L51)), _xlfn.IFS(X$24-$I51 &lt;=1, 9/10, X$24-$I51 &lt;=10,(11-(X$24-$I51))/10, X$24-$I51 &gt;=11, 0),
_xlfn.IFS(X$24-$I51 &lt;=1, 5/6, X$24-$I51 &lt;=5, (7-(X$24-$I51))/6, AND(X$24-$I51 =6,NOT(_xlfn.IFNA(ISNUMBER(SEARCH("Rending",$L51)),FALSE))), (7-(X$24-$I51))/6, AND(X$24-$I51 &gt;=7,NOT(_xlfn.IFNA(ISNUMBER(SEARCH("Rending",$L51)),FALSE))), 0, X$24-$I51 =7, (7-(X$24-1-$I51))/6, X$24-$I51 =8, (7-(X$24-2-$I51))/6*2/3, X$24-$I51 =9, (7-(X$24-3-$I51))/6*1/3, TRUE, 0)) *
IF(ISNUMBER(SEARCH("Ordinance",$L51)),7/6,1) *
IF(OR(ISNUMBER(SEARCH("Melee",$L51)),ISNUMBER(SEARCH("Bypass",$L51))),1.5,1)</f>
        <v>0</v>
      </c>
      <c r="Y51" s="17" cm="1">
        <f t="array" ref="Y51">$H51 *
IF(ISNUMBER(SEARCH("Rapid",$L51)),7/6,1) *
IF(OR(ISNUMBER(SEARCH("Beam",$L51)),ISNUMBER(SEARCH("Firestorm",$L51))),1, IF(ISNUMBER(SEARCH("Blast",$L51)),(4+$F51+(2-$F51)*0.5)/6*2,(4+$F51)/6)) *
IF(ISNUMBER(SEARCH("Fusion",$L51)), _xlfn.IFS(Y$24-$I51 &lt;=1, 9/10, Y$24-$I51 &lt;=10,(11-(Y$24-$I51))/10, Y$24-$I51 &gt;=11, 0),
_xlfn.IFS(Y$24-$I51 &lt;=1, 5/6, Y$24-$I51 &lt;=5, (7-(Y$24-$I51))/6, AND(Y$24-$I51 =6,NOT(_xlfn.IFNA(ISNUMBER(SEARCH("Rending",$L51)),FALSE))), (7-(Y$24-$I51))/6, AND(Y$24-$I51 &gt;=7,NOT(_xlfn.IFNA(ISNUMBER(SEARCH("Rending",$L51)),FALSE))), 0, Y$24-$I51 =7, (7-(Y$24-1-$I51))/6, Y$24-$I51 =8, (7-(Y$24-2-$I51))/6*2/3, Y$24-$I51 =9, (7-(Y$24-3-$I51))/6*1/3, TRUE, 0)) *
IF(ISNUMBER(SEARCH("Ordinance",$L51)),7/6,1) *
IF(OR(ISNUMBER(SEARCH("Melee",$L51)),ISNUMBER(SEARCH("Bypass",$L51))),1.5,1)</f>
        <v>0</v>
      </c>
      <c r="Z51" s="17" cm="1">
        <f t="array" ref="Z51">$H51 *
IF(ISNUMBER(SEARCH("Rapid",$L51)),7/6,1) *
IF(OR(ISNUMBER(SEARCH("Beam",$L51)),ISNUMBER(SEARCH("Firestorm",$L51))),1, IF(ISNUMBER(SEARCH("Blast",$L51)),(4+$F51+(2-$F51)*0.5)/6*2,(4+$F51)/6)) *
IF(ISNUMBER(SEARCH("Fusion",$L51)), _xlfn.IFS(Z$24-$I51 &lt;=1, 9/10, Z$24-$I51 &lt;=10,(11-(Z$24-$I51))/10, Z$24-$I51 &gt;=11, 0),
_xlfn.IFS(Z$24-$I51 &lt;=1, 5/6, Z$24-$I51 &lt;=5, (7-(Z$24-$I51))/6, AND(Z$24-$I51 =6,NOT(_xlfn.IFNA(ISNUMBER(SEARCH("Rending",$L51)),FALSE))), (7-(Z$24-$I51))/6, AND(Z$24-$I51 &gt;=7,NOT(_xlfn.IFNA(ISNUMBER(SEARCH("Rending",$L51)),FALSE))), 0, Z$24-$I51 =7, (7-(Z$24-1-$I51))/6, Z$24-$I51 =8, (7-(Z$24-2-$I51))/6*2/3, Z$24-$I51 =9, (7-(Z$24-3-$I51))/6*1/3, TRUE, 0)) *
IF(ISNUMBER(SEARCH("Ordinance",$L51)),7/6,1) *
IF(OR(ISNUMBER(SEARCH("Melee",$L51)),ISNUMBER(SEARCH("Bypass",$L51))),1.5,1)</f>
        <v>0</v>
      </c>
      <c r="AA51" s="17" cm="1">
        <f t="array" ref="AA51">$H51 *
IF(ISNUMBER(SEARCH("Rapid",$L51)),7/6,1) *
IF(OR(ISNUMBER(SEARCH("Beam",$L51)),ISNUMBER(SEARCH("Firestorm",$L51))),1, IF(ISNUMBER(SEARCH("Blast",$L51)),(4+$F51+(2-$F51)*0.5)/6*2,(4+$F51)/6)) *
IF(ISNUMBER(SEARCH("Fusion",$L51)), _xlfn.IFS(AA$24-$I51 &lt;=1, 9/10, AA$24-$I51 &lt;=10,(11-(AA$24-$I51))/10, AA$24-$I51 &gt;=11, 0),
_xlfn.IFS(AA$24-$I51 &lt;=1, 5/6, AA$24-$I51 &lt;=5, (7-(AA$24-$I51))/6, AND(AA$24-$I51 =6,NOT(_xlfn.IFNA(ISNUMBER(SEARCH("Rending",$L51)),FALSE))), (7-(AA$24-$I51))/6, AND(AA$24-$I51 &gt;=7,NOT(_xlfn.IFNA(ISNUMBER(SEARCH("Rending",$L51)),FALSE))), 0, AA$24-$I51 =7, (7-(AA$24-1-$I51))/6, AA$24-$I51 =8, (7-(AA$24-2-$I51))/6*2/3, AA$24-$I51 =9, (7-(AA$24-3-$I51))/6*1/3, TRUE, 0)) *
IF(ISNUMBER(SEARCH("Ordinance",$L51)),7/6,1) *
IF(OR(ISNUMBER(SEARCH("Melee",$L51)),ISNUMBER(SEARCH("Bypass",$L51))),1.5,1)</f>
        <v>0</v>
      </c>
      <c r="AB51" s="17" cm="1">
        <f t="array" ref="AB51">$H51 *
IF(ISNUMBER(SEARCH("Rapid",$L51)),7/6,1) *
IF(OR(ISNUMBER(SEARCH("Beam",$L51)),ISNUMBER(SEARCH("Firestorm",$L51))),1, IF(ISNUMBER(SEARCH("Blast",$L51)),(4+$F51+(2-$F51)*0.5)/6*2,(4+$F51)/6)) *
IF(ISNUMBER(SEARCH("Fusion",$L51)), _xlfn.IFS(AB$24-$I51 &lt;=1, 9/10, AB$24-$I51 &lt;=10,(11-(AB$24-$I51))/10, AB$24-$I51 &gt;=11, 0),
_xlfn.IFS(AB$24-$I51 &lt;=1, 5/6, AB$24-$I51 &lt;=5, (7-(AB$24-$I51))/6, AND(AB$24-$I51 =6,NOT(_xlfn.IFNA(ISNUMBER(SEARCH("Rending",$L51)),FALSE))), (7-(AB$24-$I51))/6, AND(AB$24-$I51 &gt;=7,NOT(_xlfn.IFNA(ISNUMBER(SEARCH("Rending",$L51)),FALSE))), 0, AB$24-$I51 =7, (7-(AB$24-1-$I51))/6, AB$24-$I51 =8, (7-(AB$24-2-$I51))/6*2/3, AB$24-$I51 =9, (7-(AB$24-3-$I51))/6*1/3, TRUE, 0)) *
IF(ISNUMBER(SEARCH("Ordinance",$L51)),7/6,1) *
IF(OR(ISNUMBER(SEARCH("Melee",$L51)),ISNUMBER(SEARCH("Bypass",$L51))),1.5,1)</f>
        <v>0</v>
      </c>
      <c r="AC51" s="17" cm="1">
        <f t="array" ref="AC51">$H51 *
IF(ISNUMBER(SEARCH("Rapid",$L51)),7/6,1) *
IF(OR(ISNUMBER(SEARCH("Beam",$L51)),ISNUMBER(SEARCH("Firestorm",$L51))),1, IF(ISNUMBER(SEARCH("Blast",$L51)),(4+$F51+(2-$F51)*0.5)/6*2,(4+$F51)/6)) *
IF(ISNUMBER(SEARCH("Fusion",$L51)), _xlfn.IFS(AC$24-$I51 &lt;=1, 9/10, AC$24-$I51 &lt;=10,(11-(AC$24-$I51))/10, AC$24-$I51 &gt;=11, 0),
_xlfn.IFS(AC$24-$I51 &lt;=1, 5/6, AC$24-$I51 &lt;=5, (7-(AC$24-$I51))/6, AND(AC$24-$I51 =6,NOT(_xlfn.IFNA(ISNUMBER(SEARCH("Rending",$L51)),FALSE))), (7-(AC$24-$I51))/6, AND(AC$24-$I51 &gt;=7,NOT(_xlfn.IFNA(ISNUMBER(SEARCH("Rending",$L51)),FALSE))), 0, AC$24-$I51 =7, (7-(AC$24-1-$I51))/6, AC$24-$I51 =8, (7-(AC$24-2-$I51))/6*2/3, AC$24-$I51 =9, (7-(AC$24-3-$I51))/6*1/3, TRUE, 0)) *
IF(ISNUMBER(SEARCH("Ordinance",$L51)),7/6,1) *
IF(OR(ISNUMBER(SEARCH("Melee",$L51)),ISNUMBER(SEARCH("Bypass",$L51))),1.5,1)</f>
        <v>0</v>
      </c>
      <c r="AD51" s="17" cm="1">
        <f t="array" ref="AD51">$H51 *
IF(ISNUMBER(SEARCH("Rapid",$L51)),7/6,1) *
IF(OR(ISNUMBER(SEARCH("Beam",$L51)),ISNUMBER(SEARCH("Firestorm",$L51))),1, IF(ISNUMBER(SEARCH("Blast",$L51)),(4+$F51+(2-$F51)*0.5)/6*2,(4+$F51)/6)) *
IF(ISNUMBER(SEARCH("Fusion",$L51)), _xlfn.IFS(AD$24-$I51 &lt;=1, 9/10, AD$24-$I51 &lt;=10,(11-(AD$24-$I51))/10, AD$24-$I51 &gt;=11, 0),
_xlfn.IFS(AD$24-$I51 &lt;=1, 5/6, AD$24-$I51 &lt;=5, (7-(AD$24-$I51))/6, AND(AD$24-$I51 =6,NOT(_xlfn.IFNA(ISNUMBER(SEARCH("Rending",$L51)),FALSE))), (7-(AD$24-$I51))/6, AND(AD$24-$I51 &gt;=7,NOT(_xlfn.IFNA(ISNUMBER(SEARCH("Rending",$L51)),FALSE))), 0, AD$24-$I51 =7, (7-(AD$24-1-$I51))/6, AD$24-$I51 =8, (7-(AD$24-2-$I51))/6*2/3, AD$24-$I51 =9, (7-(AD$24-3-$I51))/6*1/3, TRUE, 0)) *
IF(ISNUMBER(SEARCH("Ordinance",$L51)),7/6,1) *
IF(OR(ISNUMBER(SEARCH("Melee",$L51)),ISNUMBER(SEARCH("Bypass",$L51))),1.5,1)</f>
        <v>0</v>
      </c>
      <c r="AE51" s="17" cm="1">
        <f t="array" ref="AE51">$H51 *
IF(ISNUMBER(SEARCH("Rapid",$L51)),7/6,1) *
IF(OR(ISNUMBER(SEARCH("Beam",$L51)),ISNUMBER(SEARCH("Firestorm",$L51))),1, IF(ISNUMBER(SEARCH("Blast",$L51)),(4+$F51+(2-$F51)*0.5)/6*2,(4+$F51)/6)) *
IF(ISNUMBER(SEARCH("Fusion",$L51)), _xlfn.IFS(AE$24-$I51 &lt;=1, 9/10, AE$24-$I51 &lt;=10,(11-(AE$24-$I51))/10, AE$24-$I51 &gt;=11, 0),
_xlfn.IFS(AE$24-$I51 &lt;=1, 5/6, AE$24-$I51 &lt;=5, (7-(AE$24-$I51))/6, AND(AE$24-$I51 =6,NOT(_xlfn.IFNA(ISNUMBER(SEARCH("Rending",$L51)),FALSE))), (7-(AE$24-$I51))/6, AND(AE$24-$I51 &gt;=7,NOT(_xlfn.IFNA(ISNUMBER(SEARCH("Rending",$L51)),FALSE))), 0, AE$24-$I51 =7, (7-(AE$24-1-$I51))/6, AE$24-$I51 =8, (7-(AE$24-2-$I51))/6*2/3, AE$24-$I51 =9, (7-(AE$24-3-$I51))/6*1/3, TRUE, 0)) *
IF(ISNUMBER(SEARCH("Ordinance",$L51)),7/6,1) *
IF(OR(ISNUMBER(SEARCH("Melee",$L51)),ISNUMBER(SEARCH("Bypass",$L51))),1.5,1)</f>
        <v>0</v>
      </c>
      <c r="AF51" s="17" cm="1">
        <f t="array" ref="AF51">$H51 *
IF(ISNUMBER(SEARCH("Rapid",$L51)),7/6,1) *
IF(OR(ISNUMBER(SEARCH("Beam",$L51)),ISNUMBER(SEARCH("Firestorm",$L51))),1, IF(ISNUMBER(SEARCH("Blast",$L51)),(4+$F51+(2-$F51)*0.5)/6*2,(4+$F51)/6)) *
IF(ISNUMBER(SEARCH("Fusion",$L51)), _xlfn.IFS(AF$24-$I51 &lt;=1, 9/10, AF$24-$I51 &lt;=10,(11-(AF$24-$I51))/10, AF$24-$I51 &gt;=11, 0),
_xlfn.IFS(AF$24-$I51 &lt;=1, 5/6, AF$24-$I51 &lt;=5, (7-(AF$24-$I51))/6, AND(AF$24-$I51 =6,NOT(_xlfn.IFNA(ISNUMBER(SEARCH("Rending",$L51)),FALSE))), (7-(AF$24-$I51))/6, AND(AF$24-$I51 &gt;=7,NOT(_xlfn.IFNA(ISNUMBER(SEARCH("Rending",$L51)),FALSE))), 0, AF$24-$I51 =7, (7-(AF$24-1-$I51))/6, AF$24-$I51 =8, (7-(AF$24-2-$I51))/6*2/3, AF$24-$I51 =9, (7-(AF$24-3-$I51))/6*1/3, TRUE, 0)) *
IF(ISNUMBER(SEARCH("Ordinance",$L51)),7/6,1) *
IF(OR(ISNUMBER(SEARCH("Melee",$L51)),ISNUMBER(SEARCH("Bypass",$L51))),1.5,1)</f>
        <v>0</v>
      </c>
      <c r="AG51" s="16">
        <f t="shared" si="3"/>
        <v>0</v>
      </c>
      <c r="AH51" s="16">
        <f t="shared" si="4"/>
        <v>0</v>
      </c>
      <c r="AI51" s="17" cm="1">
        <f t="array" ref="AI51">$H51 *
IF(ISNUMBER(SEARCH("Rapid",$L51)),7/6,1) *
IF(OR(ISNUMBER(SEARCH("Beam",$L51)),ISNUMBER(SEARCH("Firestorm",$L51))),1, IF(ISNUMBER(SEARCH("Blast",$L51)),(4+$G51+(2-$G51)*0.5)/6*2,(4+$G51)/6)) *
_xlfn.IFS(AI$24-$I51 &lt;=1, 5/6, AI$24-$I51 &lt;=5, (7-(AI$24-$I51))/6, AND(AI$24-$I51 =6,NOT(_xlfn.IFNA(ISNUMBER(SEARCH("Rending",$L51)),FALSE))), (7-(AI$24-$I51))/6, AND(AI$24-$I51 &gt;=7,NOT(_xlfn.IFNA(ISNUMBER(SEARCH("Rending",$L51)),FALSE))), 0, AI$24-$I51 =7, (7-(AI$24-1-$I51))/6, AI$24-$I51 =8, (7-(AI$24-2-$I51))/6*2/3, AI$24-$I51 =9, (7-(AI$24-3-$I51))/6*1/3, TRUE, 0) *
IF(ISNUMBER(SEARCH("Ordinance",$L51)),7/6,1) *
IF(OR(ISNUMBER(SEARCH("Melee",$L51)),ISNUMBER(SEARCH("Bypass",$L51))),1.5,1)</f>
        <v>0</v>
      </c>
      <c r="AJ51" s="17" cm="1">
        <f t="array" ref="AJ51">$H51 *
IF(ISNUMBER(SEARCH("Rapid",$L51)),7/6,1) *
IF(OR(ISNUMBER(SEARCH("Beam",$L51)),ISNUMBER(SEARCH("Firestorm",$L51))),1, IF(ISNUMBER(SEARCH("Blast",$L51)),(4+$G51+(2-$G51)*0.5)/6*2,(4+$G51)/6)) *
_xlfn.IFS(AJ$24-$I51 &lt;=1, 5/6, AJ$24-$I51 &lt;=5, (7-(AJ$24-$I51))/6, AND(AJ$24-$I51 =6,NOT(_xlfn.IFNA(ISNUMBER(SEARCH("Rending",$L51)),FALSE))), (7-(AJ$24-$I51))/6, AND(AJ$24-$I51 &gt;=7,NOT(_xlfn.IFNA(ISNUMBER(SEARCH("Rending",$L51)),FALSE))), 0, AJ$24-$I51 =7, (7-(AJ$24-1-$I51))/6, AJ$24-$I51 =8, (7-(AJ$24-2-$I51))/6*2/3, AJ$24-$I51 =9, (7-(AJ$24-3-$I51))/6*1/3, TRUE, 0) *
IF(ISNUMBER(SEARCH("Ordinance",$L51)),7/6,1) *
IF(OR(ISNUMBER(SEARCH("Melee",$L51)),ISNUMBER(SEARCH("Bypass",$L51))),1.5,1)</f>
        <v>0</v>
      </c>
      <c r="AK51" s="17" cm="1">
        <f t="array" ref="AK51">$H51 *
IF(ISNUMBER(SEARCH("Rapid",$L51)),7/6,1) *
IF(OR(ISNUMBER(SEARCH("Beam",$L51)),ISNUMBER(SEARCH("Firestorm",$L51))),1, IF(ISNUMBER(SEARCH("Blast",$L51)),(4+$G51+(2-$G51)*0.5)/6*2,(4+$G51)/6)) *
_xlfn.IFS(AK$24-$I51 &lt;=1, 5/6, AK$24-$I51 &lt;=5, (7-(AK$24-$I51))/6, AND(AK$24-$I51 =6,NOT(_xlfn.IFNA(ISNUMBER(SEARCH("Rending",$L51)),FALSE))), (7-(AK$24-$I51))/6, AND(AK$24-$I51 &gt;=7,NOT(_xlfn.IFNA(ISNUMBER(SEARCH("Rending",$L51)),FALSE))), 0, AK$24-$I51 =7, (7-(AK$24-1-$I51))/6, AK$24-$I51 =8, (7-(AK$24-2-$I51))/6*2/3, AK$24-$I51 =9, (7-(AK$24-3-$I51))/6*1/3, TRUE, 0) *
IF(ISNUMBER(SEARCH("Ordinance",$L51)),7/6,1) *
IF(OR(ISNUMBER(SEARCH("Melee",$L51)),ISNUMBER(SEARCH("Bypass",$L51))),1.5,1)</f>
        <v>0</v>
      </c>
      <c r="AL51" s="17" cm="1">
        <f t="array" ref="AL51">$H51 *
IF(ISNUMBER(SEARCH("Rapid",$L51)),7/6,1) *
IF(OR(ISNUMBER(SEARCH("Beam",$L51)),ISNUMBER(SEARCH("Firestorm",$L51))),1, IF(ISNUMBER(SEARCH("Blast",$L51)),(4+$G51+(2-$G51)*0.5)/6*2,(4+$G51)/6)) *
_xlfn.IFS(AL$24-$I51 &lt;=1, 5/6, AL$24-$I51 &lt;=5, (7-(AL$24-$I51))/6, AND(AL$24-$I51 =6,NOT(_xlfn.IFNA(ISNUMBER(SEARCH("Rending",$L51)),FALSE))), (7-(AL$24-$I51))/6, AND(AL$24-$I51 &gt;=7,NOT(_xlfn.IFNA(ISNUMBER(SEARCH("Rending",$L51)),FALSE))), 0, AL$24-$I51 =7, (7-(AL$24-1-$I51))/6, AL$24-$I51 =8, (7-(AL$24-2-$I51))/6*2/3, AL$24-$I51 =9, (7-(AL$24-3-$I51))/6*1/3, TRUE, 0) *
IF(ISNUMBER(SEARCH("Ordinance",$L51)),7/6,1) *
IF(OR(ISNUMBER(SEARCH("Melee",$L51)),ISNUMBER(SEARCH("Bypass",$L51))),1.5,1)</f>
        <v>0</v>
      </c>
      <c r="AM51" s="17" cm="1">
        <f t="array" ref="AM51">$H51 *
IF(ISNUMBER(SEARCH("Rapid",$L51)),7/6,1) *
IF(OR(ISNUMBER(SEARCH("Beam",$L51)),ISNUMBER(SEARCH("Firestorm",$L51))),1, IF(ISNUMBER(SEARCH("Blast",$L51)),(4+$G51+(2-$G51)*0.5)/6*2,(4+$G51)/6)) *
_xlfn.IFS(AM$24-$I51 &lt;=1, 5/6, AM$24-$I51 &lt;=5, (7-(AM$24-$I51))/6, AND(AM$24-$I51 =6,NOT(_xlfn.IFNA(ISNUMBER(SEARCH("Rending",$L51)),FALSE))), (7-(AM$24-$I51))/6, AND(AM$24-$I51 &gt;=7,NOT(_xlfn.IFNA(ISNUMBER(SEARCH("Rending",$L51)),FALSE))), 0, AM$24-$I51 =7, (7-(AM$24-1-$I51))/6, AM$24-$I51 =8, (7-(AM$24-2-$I51))/6*2/3, AM$24-$I51 =9, (7-(AM$24-3-$I51))/6*1/3, TRUE, 0) *
IF(ISNUMBER(SEARCH("Ordinance",$L51)),7/6,1) *
IF(OR(ISNUMBER(SEARCH("Melee",$L51)),ISNUMBER(SEARCH("Bypass",$L51))),1.5,1)</f>
        <v>0</v>
      </c>
      <c r="AN51" s="17" cm="1">
        <f t="array" ref="AN51">$H51 *
IF(ISNUMBER(SEARCH("Rapid",$L51)),7/6,1) *
IF(OR(ISNUMBER(SEARCH("Beam",$L51)),ISNUMBER(SEARCH("Firestorm",$L51))),1, IF(ISNUMBER(SEARCH("Blast",$L51)),(4+$G51+(2-$G51)*0.5)/6*2,(4+$G51)/6)) *
_xlfn.IFS(AN$24-$I51 &lt;=1, 5/6, AN$24-$I51 &lt;=5, (7-(AN$24-$I51))/6, AND(AN$24-$I51 =6,NOT(_xlfn.IFNA(ISNUMBER(SEARCH("Rending",$L51)),FALSE))), (7-(AN$24-$I51))/6, AND(AN$24-$I51 &gt;=7,NOT(_xlfn.IFNA(ISNUMBER(SEARCH("Rending",$L51)),FALSE))), 0, AN$24-$I51 =7, (7-(AN$24-1-$I51))/6, AN$24-$I51 =8, (7-(AN$24-2-$I51))/6*2/3, AN$24-$I51 =9, (7-(AN$24-3-$I51))/6*1/3, TRUE, 0) *
IF(ISNUMBER(SEARCH("Ordinance",$L51)),7/6,1) *
IF(OR(ISNUMBER(SEARCH("Melee",$L51)),ISNUMBER(SEARCH("Bypass",$L51))),1.5,1)</f>
        <v>0</v>
      </c>
      <c r="AO51" s="17" cm="1">
        <f t="array" ref="AO51">$H51 *
IF(ISNUMBER(SEARCH("Rapid",$L51)),7/6,1) *
IF(OR(ISNUMBER(SEARCH("Beam",$L51)),ISNUMBER(SEARCH("Firestorm",$L51))),1, IF(ISNUMBER(SEARCH("Blast",$L51)),(4+$G51+(2-$G51)*0.5)/6*2,(4+$G51)/6)) *
_xlfn.IFS(AO$24-$I51 &lt;=1, 5/6, AO$24-$I51 &lt;=5, (7-(AO$24-$I51))/6, AND(AO$24-$I51 =6,NOT(_xlfn.IFNA(ISNUMBER(SEARCH("Rending",$L51)),FALSE))), (7-(AO$24-$I51))/6, AND(AO$24-$I51 &gt;=7,NOT(_xlfn.IFNA(ISNUMBER(SEARCH("Rending",$L51)),FALSE))), 0, AO$24-$I51 =7, (7-(AO$24-1-$I51))/6, AO$24-$I51 =8, (7-(AO$24-2-$I51))/6*2/3, AO$24-$I51 =9, (7-(AO$24-3-$I51))/6*1/3, TRUE, 0) *
IF(ISNUMBER(SEARCH("Ordinance",$L51)),7/6,1) *
IF(OR(ISNUMBER(SEARCH("Melee",$L51)),ISNUMBER(SEARCH("Bypass",$L51))),1.5,1)</f>
        <v>0</v>
      </c>
      <c r="AP51" s="17" cm="1">
        <f t="array" ref="AP51">$H51 *
IF(ISNUMBER(SEARCH("Rapid",$L51)),7/6,1) *
IF(OR(ISNUMBER(SEARCH("Beam",$L51)),ISNUMBER(SEARCH("Firestorm",$L51))),1, IF(ISNUMBER(SEARCH("Blast",$L51)),(4+$G51+(2-$G51)*0.5)/6*2,(4+$G51)/6)) *
_xlfn.IFS(AP$24-$I51 &lt;=1, 5/6, AP$24-$I51 &lt;=5, (7-(AP$24-$I51))/6, AND(AP$24-$I51 =6,NOT(_xlfn.IFNA(ISNUMBER(SEARCH("Rending",$L51)),FALSE))), (7-(AP$24-$I51))/6, AND(AP$24-$I51 &gt;=7,NOT(_xlfn.IFNA(ISNUMBER(SEARCH("Rending",$L51)),FALSE))), 0, AP$24-$I51 =7, (7-(AP$24-1-$I51))/6, AP$24-$I51 =8, (7-(AP$24-2-$I51))/6*2/3, AP$24-$I51 =9, (7-(AP$24-3-$I51))/6*1/3, TRUE, 0) *
IF(ISNUMBER(SEARCH("Ordinance",$L51)),7/6,1) *
IF(OR(ISNUMBER(SEARCH("Melee",$L51)),ISNUMBER(SEARCH("Bypass",$L51))),1.5,1)</f>
        <v>0</v>
      </c>
      <c r="AQ51" s="17" cm="1">
        <f t="array" ref="AQ51">$H51 *
IF(ISNUMBER(SEARCH("Rapid",$L51)),7/6,1) *
IF(OR(ISNUMBER(SEARCH("Beam",$L51)),ISNUMBER(SEARCH("Firestorm",$L51))),1, IF(ISNUMBER(SEARCH("Blast",$L51)),(4+$G51+(2-$G51)*0.5)/6*2,(4+$G51)/6)) *
_xlfn.IFS(AQ$24-$I51 &lt;=1, 5/6, AQ$24-$I51 &lt;=5, (7-(AQ$24-$I51))/6, AND(AQ$24-$I51 =6,NOT(_xlfn.IFNA(ISNUMBER(SEARCH("Rending",$L51)),FALSE))), (7-(AQ$24-$I51))/6, AND(AQ$24-$I51 &gt;=7,NOT(_xlfn.IFNA(ISNUMBER(SEARCH("Rending",$L51)),FALSE))), 0, AQ$24-$I51 =7, (7-(AQ$24-1-$I51))/6, AQ$24-$I51 =8, (7-(AQ$24-2-$I51))/6*2/3, AQ$24-$I51 =9, (7-(AQ$24-3-$I51))/6*1/3, TRUE, 0) *
IF(ISNUMBER(SEARCH("Ordinance",$L51)),7/6,1) *
IF(OR(ISNUMBER(SEARCH("Melee",$L51)),ISNUMBER(SEARCH("Bypass",$L51))),1.5,1)</f>
        <v>0</v>
      </c>
    </row>
    <row r="52" spans="1:48" x14ac:dyDescent="0.3">
      <c r="A52" s="6" t="s">
        <v>206</v>
      </c>
      <c r="V52" s="16">
        <f t="shared" si="1"/>
        <v>0</v>
      </c>
      <c r="W52" s="16">
        <f t="shared" si="2"/>
        <v>0</v>
      </c>
      <c r="X52" s="17" cm="1">
        <f t="array" ref="X52">$H52 *
IF(ISNUMBER(SEARCH("Rapid",$L52)),7/6,1) *
IF(OR(ISNUMBER(SEARCH("Beam",$L52)),ISNUMBER(SEARCH("Firestorm",$L52))),1, IF(ISNUMBER(SEARCH("Blast",$L52)),(4+$F52+(2-$F52)*0.5)/6*2,(4+$F52)/6)) *
IF(ISNUMBER(SEARCH("Fusion",$L52)), _xlfn.IFS(X$24-$I52 &lt;=1, 9/10, X$24-$I52 &lt;=10,(11-(X$24-$I52))/10, X$24-$I52 &gt;=11, 0),
_xlfn.IFS(X$24-$I52 &lt;=1, 5/6, X$24-$I52 &lt;=5, (7-(X$24-$I52))/6, AND(X$24-$I52 =6,NOT(_xlfn.IFNA(ISNUMBER(SEARCH("Rending",$L52)),FALSE))), (7-(X$24-$I52))/6, AND(X$24-$I52 &gt;=7,NOT(_xlfn.IFNA(ISNUMBER(SEARCH("Rending",$L52)),FALSE))), 0, X$24-$I52 =7, (7-(X$24-1-$I52))/6, X$24-$I52 =8, (7-(X$24-2-$I52))/6*2/3, X$24-$I52 =9, (7-(X$24-3-$I52))/6*1/3, TRUE, 0)) *
IF(ISNUMBER(SEARCH("Ordinance",$L52)),7/6,1) *
IF(OR(ISNUMBER(SEARCH("Melee",$L52)),ISNUMBER(SEARCH("Bypass",$L52))),1.5,1)</f>
        <v>0</v>
      </c>
      <c r="Y52" s="17" cm="1">
        <f t="array" ref="Y52">$H52 *
IF(ISNUMBER(SEARCH("Rapid",$L52)),7/6,1) *
IF(OR(ISNUMBER(SEARCH("Beam",$L52)),ISNUMBER(SEARCH("Firestorm",$L52))),1, IF(ISNUMBER(SEARCH("Blast",$L52)),(4+$F52+(2-$F52)*0.5)/6*2,(4+$F52)/6)) *
IF(ISNUMBER(SEARCH("Fusion",$L52)), _xlfn.IFS(Y$24-$I52 &lt;=1, 9/10, Y$24-$I52 &lt;=10,(11-(Y$24-$I52))/10, Y$24-$I52 &gt;=11, 0),
_xlfn.IFS(Y$24-$I52 &lt;=1, 5/6, Y$24-$I52 &lt;=5, (7-(Y$24-$I52))/6, AND(Y$24-$I52 =6,NOT(_xlfn.IFNA(ISNUMBER(SEARCH("Rending",$L52)),FALSE))), (7-(Y$24-$I52))/6, AND(Y$24-$I52 &gt;=7,NOT(_xlfn.IFNA(ISNUMBER(SEARCH("Rending",$L52)),FALSE))), 0, Y$24-$I52 =7, (7-(Y$24-1-$I52))/6, Y$24-$I52 =8, (7-(Y$24-2-$I52))/6*2/3, Y$24-$I52 =9, (7-(Y$24-3-$I52))/6*1/3, TRUE, 0)) *
IF(ISNUMBER(SEARCH("Ordinance",$L52)),7/6,1) *
IF(OR(ISNUMBER(SEARCH("Melee",$L52)),ISNUMBER(SEARCH("Bypass",$L52))),1.5,1)</f>
        <v>0</v>
      </c>
      <c r="Z52" s="17" cm="1">
        <f t="array" ref="Z52">$H52 *
IF(ISNUMBER(SEARCH("Rapid",$L52)),7/6,1) *
IF(OR(ISNUMBER(SEARCH("Beam",$L52)),ISNUMBER(SEARCH("Firestorm",$L52))),1, IF(ISNUMBER(SEARCH("Blast",$L52)),(4+$F52+(2-$F52)*0.5)/6*2,(4+$F52)/6)) *
IF(ISNUMBER(SEARCH("Fusion",$L52)), _xlfn.IFS(Z$24-$I52 &lt;=1, 9/10, Z$24-$I52 &lt;=10,(11-(Z$24-$I52))/10, Z$24-$I52 &gt;=11, 0),
_xlfn.IFS(Z$24-$I52 &lt;=1, 5/6, Z$24-$I52 &lt;=5, (7-(Z$24-$I52))/6, AND(Z$24-$I52 =6,NOT(_xlfn.IFNA(ISNUMBER(SEARCH("Rending",$L52)),FALSE))), (7-(Z$24-$I52))/6, AND(Z$24-$I52 &gt;=7,NOT(_xlfn.IFNA(ISNUMBER(SEARCH("Rending",$L52)),FALSE))), 0, Z$24-$I52 =7, (7-(Z$24-1-$I52))/6, Z$24-$I52 =8, (7-(Z$24-2-$I52))/6*2/3, Z$24-$I52 =9, (7-(Z$24-3-$I52))/6*1/3, TRUE, 0)) *
IF(ISNUMBER(SEARCH("Ordinance",$L52)),7/6,1) *
IF(OR(ISNUMBER(SEARCH("Melee",$L52)),ISNUMBER(SEARCH("Bypass",$L52))),1.5,1)</f>
        <v>0</v>
      </c>
      <c r="AA52" s="17" cm="1">
        <f t="array" ref="AA52">$H52 *
IF(ISNUMBER(SEARCH("Rapid",$L52)),7/6,1) *
IF(OR(ISNUMBER(SEARCH("Beam",$L52)),ISNUMBER(SEARCH("Firestorm",$L52))),1, IF(ISNUMBER(SEARCH("Blast",$L52)),(4+$F52+(2-$F52)*0.5)/6*2,(4+$F52)/6)) *
IF(ISNUMBER(SEARCH("Fusion",$L52)), _xlfn.IFS(AA$24-$I52 &lt;=1, 9/10, AA$24-$I52 &lt;=10,(11-(AA$24-$I52))/10, AA$24-$I52 &gt;=11, 0),
_xlfn.IFS(AA$24-$I52 &lt;=1, 5/6, AA$24-$I52 &lt;=5, (7-(AA$24-$I52))/6, AND(AA$24-$I52 =6,NOT(_xlfn.IFNA(ISNUMBER(SEARCH("Rending",$L52)),FALSE))), (7-(AA$24-$I52))/6, AND(AA$24-$I52 &gt;=7,NOT(_xlfn.IFNA(ISNUMBER(SEARCH("Rending",$L52)),FALSE))), 0, AA$24-$I52 =7, (7-(AA$24-1-$I52))/6, AA$24-$I52 =8, (7-(AA$24-2-$I52))/6*2/3, AA$24-$I52 =9, (7-(AA$24-3-$I52))/6*1/3, TRUE, 0)) *
IF(ISNUMBER(SEARCH("Ordinance",$L52)),7/6,1) *
IF(OR(ISNUMBER(SEARCH("Melee",$L52)),ISNUMBER(SEARCH("Bypass",$L52))),1.5,1)</f>
        <v>0</v>
      </c>
      <c r="AB52" s="17" cm="1">
        <f t="array" ref="AB52">$H52 *
IF(ISNUMBER(SEARCH("Rapid",$L52)),7/6,1) *
IF(OR(ISNUMBER(SEARCH("Beam",$L52)),ISNUMBER(SEARCH("Firestorm",$L52))),1, IF(ISNUMBER(SEARCH("Blast",$L52)),(4+$F52+(2-$F52)*0.5)/6*2,(4+$F52)/6)) *
IF(ISNUMBER(SEARCH("Fusion",$L52)), _xlfn.IFS(AB$24-$I52 &lt;=1, 9/10, AB$24-$I52 &lt;=10,(11-(AB$24-$I52))/10, AB$24-$I52 &gt;=11, 0),
_xlfn.IFS(AB$24-$I52 &lt;=1, 5/6, AB$24-$I52 &lt;=5, (7-(AB$24-$I52))/6, AND(AB$24-$I52 =6,NOT(_xlfn.IFNA(ISNUMBER(SEARCH("Rending",$L52)),FALSE))), (7-(AB$24-$I52))/6, AND(AB$24-$I52 &gt;=7,NOT(_xlfn.IFNA(ISNUMBER(SEARCH("Rending",$L52)),FALSE))), 0, AB$24-$I52 =7, (7-(AB$24-1-$I52))/6, AB$24-$I52 =8, (7-(AB$24-2-$I52))/6*2/3, AB$24-$I52 =9, (7-(AB$24-3-$I52))/6*1/3, TRUE, 0)) *
IF(ISNUMBER(SEARCH("Ordinance",$L52)),7/6,1) *
IF(OR(ISNUMBER(SEARCH("Melee",$L52)),ISNUMBER(SEARCH("Bypass",$L52))),1.5,1)</f>
        <v>0</v>
      </c>
      <c r="AC52" s="17" cm="1">
        <f t="array" ref="AC52">$H52 *
IF(ISNUMBER(SEARCH("Rapid",$L52)),7/6,1) *
IF(OR(ISNUMBER(SEARCH("Beam",$L52)),ISNUMBER(SEARCH("Firestorm",$L52))),1, IF(ISNUMBER(SEARCH("Blast",$L52)),(4+$F52+(2-$F52)*0.5)/6*2,(4+$F52)/6)) *
IF(ISNUMBER(SEARCH("Fusion",$L52)), _xlfn.IFS(AC$24-$I52 &lt;=1, 9/10, AC$24-$I52 &lt;=10,(11-(AC$24-$I52))/10, AC$24-$I52 &gt;=11, 0),
_xlfn.IFS(AC$24-$I52 &lt;=1, 5/6, AC$24-$I52 &lt;=5, (7-(AC$24-$I52))/6, AND(AC$24-$I52 =6,NOT(_xlfn.IFNA(ISNUMBER(SEARCH("Rending",$L52)),FALSE))), (7-(AC$24-$I52))/6, AND(AC$24-$I52 &gt;=7,NOT(_xlfn.IFNA(ISNUMBER(SEARCH("Rending",$L52)),FALSE))), 0, AC$24-$I52 =7, (7-(AC$24-1-$I52))/6, AC$24-$I52 =8, (7-(AC$24-2-$I52))/6*2/3, AC$24-$I52 =9, (7-(AC$24-3-$I52))/6*1/3, TRUE, 0)) *
IF(ISNUMBER(SEARCH("Ordinance",$L52)),7/6,1) *
IF(OR(ISNUMBER(SEARCH("Melee",$L52)),ISNUMBER(SEARCH("Bypass",$L52))),1.5,1)</f>
        <v>0</v>
      </c>
      <c r="AD52" s="17" cm="1">
        <f t="array" ref="AD52">$H52 *
IF(ISNUMBER(SEARCH("Rapid",$L52)),7/6,1) *
IF(OR(ISNUMBER(SEARCH("Beam",$L52)),ISNUMBER(SEARCH("Firestorm",$L52))),1, IF(ISNUMBER(SEARCH("Blast",$L52)),(4+$F52+(2-$F52)*0.5)/6*2,(4+$F52)/6)) *
IF(ISNUMBER(SEARCH("Fusion",$L52)), _xlfn.IFS(AD$24-$I52 &lt;=1, 9/10, AD$24-$I52 &lt;=10,(11-(AD$24-$I52))/10, AD$24-$I52 &gt;=11, 0),
_xlfn.IFS(AD$24-$I52 &lt;=1, 5/6, AD$24-$I52 &lt;=5, (7-(AD$24-$I52))/6, AND(AD$24-$I52 =6,NOT(_xlfn.IFNA(ISNUMBER(SEARCH("Rending",$L52)),FALSE))), (7-(AD$24-$I52))/6, AND(AD$24-$I52 &gt;=7,NOT(_xlfn.IFNA(ISNUMBER(SEARCH("Rending",$L52)),FALSE))), 0, AD$24-$I52 =7, (7-(AD$24-1-$I52))/6, AD$24-$I52 =8, (7-(AD$24-2-$I52))/6*2/3, AD$24-$I52 =9, (7-(AD$24-3-$I52))/6*1/3, TRUE, 0)) *
IF(ISNUMBER(SEARCH("Ordinance",$L52)),7/6,1) *
IF(OR(ISNUMBER(SEARCH("Melee",$L52)),ISNUMBER(SEARCH("Bypass",$L52))),1.5,1)</f>
        <v>0</v>
      </c>
      <c r="AE52" s="17" cm="1">
        <f t="array" ref="AE52">$H52 *
IF(ISNUMBER(SEARCH("Rapid",$L52)),7/6,1) *
IF(OR(ISNUMBER(SEARCH("Beam",$L52)),ISNUMBER(SEARCH("Firestorm",$L52))),1, IF(ISNUMBER(SEARCH("Blast",$L52)),(4+$F52+(2-$F52)*0.5)/6*2,(4+$F52)/6)) *
IF(ISNUMBER(SEARCH("Fusion",$L52)), _xlfn.IFS(AE$24-$I52 &lt;=1, 9/10, AE$24-$I52 &lt;=10,(11-(AE$24-$I52))/10, AE$24-$I52 &gt;=11, 0),
_xlfn.IFS(AE$24-$I52 &lt;=1, 5/6, AE$24-$I52 &lt;=5, (7-(AE$24-$I52))/6, AND(AE$24-$I52 =6,NOT(_xlfn.IFNA(ISNUMBER(SEARCH("Rending",$L52)),FALSE))), (7-(AE$24-$I52))/6, AND(AE$24-$I52 &gt;=7,NOT(_xlfn.IFNA(ISNUMBER(SEARCH("Rending",$L52)),FALSE))), 0, AE$24-$I52 =7, (7-(AE$24-1-$I52))/6, AE$24-$I52 =8, (7-(AE$24-2-$I52))/6*2/3, AE$24-$I52 =9, (7-(AE$24-3-$I52))/6*1/3, TRUE, 0)) *
IF(ISNUMBER(SEARCH("Ordinance",$L52)),7/6,1) *
IF(OR(ISNUMBER(SEARCH("Melee",$L52)),ISNUMBER(SEARCH("Bypass",$L52))),1.5,1)</f>
        <v>0</v>
      </c>
      <c r="AF52" s="17" cm="1">
        <f t="array" ref="AF52">$H52 *
IF(ISNUMBER(SEARCH("Rapid",$L52)),7/6,1) *
IF(OR(ISNUMBER(SEARCH("Beam",$L52)),ISNUMBER(SEARCH("Firestorm",$L52))),1, IF(ISNUMBER(SEARCH("Blast",$L52)),(4+$F52+(2-$F52)*0.5)/6*2,(4+$F52)/6)) *
IF(ISNUMBER(SEARCH("Fusion",$L52)), _xlfn.IFS(AF$24-$I52 &lt;=1, 9/10, AF$24-$I52 &lt;=10,(11-(AF$24-$I52))/10, AF$24-$I52 &gt;=11, 0),
_xlfn.IFS(AF$24-$I52 &lt;=1, 5/6, AF$24-$I52 &lt;=5, (7-(AF$24-$I52))/6, AND(AF$24-$I52 =6,NOT(_xlfn.IFNA(ISNUMBER(SEARCH("Rending",$L52)),FALSE))), (7-(AF$24-$I52))/6, AND(AF$24-$I52 &gt;=7,NOT(_xlfn.IFNA(ISNUMBER(SEARCH("Rending",$L52)),FALSE))), 0, AF$24-$I52 =7, (7-(AF$24-1-$I52))/6, AF$24-$I52 =8, (7-(AF$24-2-$I52))/6*2/3, AF$24-$I52 =9, (7-(AF$24-3-$I52))/6*1/3, TRUE, 0)) *
IF(ISNUMBER(SEARCH("Ordinance",$L52)),7/6,1) *
IF(OR(ISNUMBER(SEARCH("Melee",$L52)),ISNUMBER(SEARCH("Bypass",$L52))),1.5,1)</f>
        <v>0</v>
      </c>
      <c r="AG52" s="16">
        <f t="shared" si="3"/>
        <v>0</v>
      </c>
      <c r="AH52" s="16">
        <f t="shared" si="4"/>
        <v>0</v>
      </c>
      <c r="AI52" s="17" cm="1">
        <f t="array" ref="AI52">$H52 *
IF(ISNUMBER(SEARCH("Rapid",$L52)),7/6,1) *
IF(OR(ISNUMBER(SEARCH("Beam",$L52)),ISNUMBER(SEARCH("Firestorm",$L52))),1, IF(ISNUMBER(SEARCH("Blast",$L52)),(4+$G52+(2-$G52)*0.5)/6*2,(4+$G52)/6)) *
_xlfn.IFS(AI$24-$I52 &lt;=1, 5/6, AI$24-$I52 &lt;=5, (7-(AI$24-$I52))/6, AND(AI$24-$I52 =6,NOT(_xlfn.IFNA(ISNUMBER(SEARCH("Rending",$L52)),FALSE))), (7-(AI$24-$I52))/6, AND(AI$24-$I52 &gt;=7,NOT(_xlfn.IFNA(ISNUMBER(SEARCH("Rending",$L52)),FALSE))), 0, AI$24-$I52 =7, (7-(AI$24-1-$I52))/6, AI$24-$I52 =8, (7-(AI$24-2-$I52))/6*2/3, AI$24-$I52 =9, (7-(AI$24-3-$I52))/6*1/3, TRUE, 0) *
IF(ISNUMBER(SEARCH("Ordinance",$L52)),7/6,1) *
IF(OR(ISNUMBER(SEARCH("Melee",$L52)),ISNUMBER(SEARCH("Bypass",$L52))),1.5,1)</f>
        <v>0</v>
      </c>
      <c r="AJ52" s="17" cm="1">
        <f t="array" ref="AJ52">$H52 *
IF(ISNUMBER(SEARCH("Rapid",$L52)),7/6,1) *
IF(OR(ISNUMBER(SEARCH("Beam",$L52)),ISNUMBER(SEARCH("Firestorm",$L52))),1, IF(ISNUMBER(SEARCH("Blast",$L52)),(4+$G52+(2-$G52)*0.5)/6*2,(4+$G52)/6)) *
_xlfn.IFS(AJ$24-$I52 &lt;=1, 5/6, AJ$24-$I52 &lt;=5, (7-(AJ$24-$I52))/6, AND(AJ$24-$I52 =6,NOT(_xlfn.IFNA(ISNUMBER(SEARCH("Rending",$L52)),FALSE))), (7-(AJ$24-$I52))/6, AND(AJ$24-$I52 &gt;=7,NOT(_xlfn.IFNA(ISNUMBER(SEARCH("Rending",$L52)),FALSE))), 0, AJ$24-$I52 =7, (7-(AJ$24-1-$I52))/6, AJ$24-$I52 =8, (7-(AJ$24-2-$I52))/6*2/3, AJ$24-$I52 =9, (7-(AJ$24-3-$I52))/6*1/3, TRUE, 0) *
IF(ISNUMBER(SEARCH("Ordinance",$L52)),7/6,1) *
IF(OR(ISNUMBER(SEARCH("Melee",$L52)),ISNUMBER(SEARCH("Bypass",$L52))),1.5,1)</f>
        <v>0</v>
      </c>
      <c r="AK52" s="17" cm="1">
        <f t="array" ref="AK52">$H52 *
IF(ISNUMBER(SEARCH("Rapid",$L52)),7/6,1) *
IF(OR(ISNUMBER(SEARCH("Beam",$L52)),ISNUMBER(SEARCH("Firestorm",$L52))),1, IF(ISNUMBER(SEARCH("Blast",$L52)),(4+$G52+(2-$G52)*0.5)/6*2,(4+$G52)/6)) *
_xlfn.IFS(AK$24-$I52 &lt;=1, 5/6, AK$24-$I52 &lt;=5, (7-(AK$24-$I52))/6, AND(AK$24-$I52 =6,NOT(_xlfn.IFNA(ISNUMBER(SEARCH("Rending",$L52)),FALSE))), (7-(AK$24-$I52))/6, AND(AK$24-$I52 &gt;=7,NOT(_xlfn.IFNA(ISNUMBER(SEARCH("Rending",$L52)),FALSE))), 0, AK$24-$I52 =7, (7-(AK$24-1-$I52))/6, AK$24-$I52 =8, (7-(AK$24-2-$I52))/6*2/3, AK$24-$I52 =9, (7-(AK$24-3-$I52))/6*1/3, TRUE, 0) *
IF(ISNUMBER(SEARCH("Ordinance",$L52)),7/6,1) *
IF(OR(ISNUMBER(SEARCH("Melee",$L52)),ISNUMBER(SEARCH("Bypass",$L52))),1.5,1)</f>
        <v>0</v>
      </c>
      <c r="AL52" s="17" cm="1">
        <f t="array" ref="AL52">$H52 *
IF(ISNUMBER(SEARCH("Rapid",$L52)),7/6,1) *
IF(OR(ISNUMBER(SEARCH("Beam",$L52)),ISNUMBER(SEARCH("Firestorm",$L52))),1, IF(ISNUMBER(SEARCH("Blast",$L52)),(4+$G52+(2-$G52)*0.5)/6*2,(4+$G52)/6)) *
_xlfn.IFS(AL$24-$I52 &lt;=1, 5/6, AL$24-$I52 &lt;=5, (7-(AL$24-$I52))/6, AND(AL$24-$I52 =6,NOT(_xlfn.IFNA(ISNUMBER(SEARCH("Rending",$L52)),FALSE))), (7-(AL$24-$I52))/6, AND(AL$24-$I52 &gt;=7,NOT(_xlfn.IFNA(ISNUMBER(SEARCH("Rending",$L52)),FALSE))), 0, AL$24-$I52 =7, (7-(AL$24-1-$I52))/6, AL$24-$I52 =8, (7-(AL$24-2-$I52))/6*2/3, AL$24-$I52 =9, (7-(AL$24-3-$I52))/6*1/3, TRUE, 0) *
IF(ISNUMBER(SEARCH("Ordinance",$L52)),7/6,1) *
IF(OR(ISNUMBER(SEARCH("Melee",$L52)),ISNUMBER(SEARCH("Bypass",$L52))),1.5,1)</f>
        <v>0</v>
      </c>
      <c r="AM52" s="17" cm="1">
        <f t="array" ref="AM52">$H52 *
IF(ISNUMBER(SEARCH("Rapid",$L52)),7/6,1) *
IF(OR(ISNUMBER(SEARCH("Beam",$L52)),ISNUMBER(SEARCH("Firestorm",$L52))),1, IF(ISNUMBER(SEARCH("Blast",$L52)),(4+$G52+(2-$G52)*0.5)/6*2,(4+$G52)/6)) *
_xlfn.IFS(AM$24-$I52 &lt;=1, 5/6, AM$24-$I52 &lt;=5, (7-(AM$24-$I52))/6, AND(AM$24-$I52 =6,NOT(_xlfn.IFNA(ISNUMBER(SEARCH("Rending",$L52)),FALSE))), (7-(AM$24-$I52))/6, AND(AM$24-$I52 &gt;=7,NOT(_xlfn.IFNA(ISNUMBER(SEARCH("Rending",$L52)),FALSE))), 0, AM$24-$I52 =7, (7-(AM$24-1-$I52))/6, AM$24-$I52 =8, (7-(AM$24-2-$I52))/6*2/3, AM$24-$I52 =9, (7-(AM$24-3-$I52))/6*1/3, TRUE, 0) *
IF(ISNUMBER(SEARCH("Ordinance",$L52)),7/6,1) *
IF(OR(ISNUMBER(SEARCH("Melee",$L52)),ISNUMBER(SEARCH("Bypass",$L52))),1.5,1)</f>
        <v>0</v>
      </c>
      <c r="AN52" s="17" cm="1">
        <f t="array" ref="AN52">$H52 *
IF(ISNUMBER(SEARCH("Rapid",$L52)),7/6,1) *
IF(OR(ISNUMBER(SEARCH("Beam",$L52)),ISNUMBER(SEARCH("Firestorm",$L52))),1, IF(ISNUMBER(SEARCH("Blast",$L52)),(4+$G52+(2-$G52)*0.5)/6*2,(4+$G52)/6)) *
_xlfn.IFS(AN$24-$I52 &lt;=1, 5/6, AN$24-$I52 &lt;=5, (7-(AN$24-$I52))/6, AND(AN$24-$I52 =6,NOT(_xlfn.IFNA(ISNUMBER(SEARCH("Rending",$L52)),FALSE))), (7-(AN$24-$I52))/6, AND(AN$24-$I52 &gt;=7,NOT(_xlfn.IFNA(ISNUMBER(SEARCH("Rending",$L52)),FALSE))), 0, AN$24-$I52 =7, (7-(AN$24-1-$I52))/6, AN$24-$I52 =8, (7-(AN$24-2-$I52))/6*2/3, AN$24-$I52 =9, (7-(AN$24-3-$I52))/6*1/3, TRUE, 0) *
IF(ISNUMBER(SEARCH("Ordinance",$L52)),7/6,1) *
IF(OR(ISNUMBER(SEARCH("Melee",$L52)),ISNUMBER(SEARCH("Bypass",$L52))),1.5,1)</f>
        <v>0</v>
      </c>
      <c r="AO52" s="17" cm="1">
        <f t="array" ref="AO52">$H52 *
IF(ISNUMBER(SEARCH("Rapid",$L52)),7/6,1) *
IF(OR(ISNUMBER(SEARCH("Beam",$L52)),ISNUMBER(SEARCH("Firestorm",$L52))),1, IF(ISNUMBER(SEARCH("Blast",$L52)),(4+$G52+(2-$G52)*0.5)/6*2,(4+$G52)/6)) *
_xlfn.IFS(AO$24-$I52 &lt;=1, 5/6, AO$24-$I52 &lt;=5, (7-(AO$24-$I52))/6, AND(AO$24-$I52 =6,NOT(_xlfn.IFNA(ISNUMBER(SEARCH("Rending",$L52)),FALSE))), (7-(AO$24-$I52))/6, AND(AO$24-$I52 &gt;=7,NOT(_xlfn.IFNA(ISNUMBER(SEARCH("Rending",$L52)),FALSE))), 0, AO$24-$I52 =7, (7-(AO$24-1-$I52))/6, AO$24-$I52 =8, (7-(AO$24-2-$I52))/6*2/3, AO$24-$I52 =9, (7-(AO$24-3-$I52))/6*1/3, TRUE, 0) *
IF(ISNUMBER(SEARCH("Ordinance",$L52)),7/6,1) *
IF(OR(ISNUMBER(SEARCH("Melee",$L52)),ISNUMBER(SEARCH("Bypass",$L52))),1.5,1)</f>
        <v>0</v>
      </c>
      <c r="AP52" s="17" cm="1">
        <f t="array" ref="AP52">$H52 *
IF(ISNUMBER(SEARCH("Rapid",$L52)),7/6,1) *
IF(OR(ISNUMBER(SEARCH("Beam",$L52)),ISNUMBER(SEARCH("Firestorm",$L52))),1, IF(ISNUMBER(SEARCH("Blast",$L52)),(4+$G52+(2-$G52)*0.5)/6*2,(4+$G52)/6)) *
_xlfn.IFS(AP$24-$I52 &lt;=1, 5/6, AP$24-$I52 &lt;=5, (7-(AP$24-$I52))/6, AND(AP$24-$I52 =6,NOT(_xlfn.IFNA(ISNUMBER(SEARCH("Rending",$L52)),FALSE))), (7-(AP$24-$I52))/6, AND(AP$24-$I52 &gt;=7,NOT(_xlfn.IFNA(ISNUMBER(SEARCH("Rending",$L52)),FALSE))), 0, AP$24-$I52 =7, (7-(AP$24-1-$I52))/6, AP$24-$I52 =8, (7-(AP$24-2-$I52))/6*2/3, AP$24-$I52 =9, (7-(AP$24-3-$I52))/6*1/3, TRUE, 0) *
IF(ISNUMBER(SEARCH("Ordinance",$L52)),7/6,1) *
IF(OR(ISNUMBER(SEARCH("Melee",$L52)),ISNUMBER(SEARCH("Bypass",$L52))),1.5,1)</f>
        <v>0</v>
      </c>
      <c r="AQ52" s="17" cm="1">
        <f t="array" ref="AQ52">$H52 *
IF(ISNUMBER(SEARCH("Rapid",$L52)),7/6,1) *
IF(OR(ISNUMBER(SEARCH("Beam",$L52)),ISNUMBER(SEARCH("Firestorm",$L52))),1, IF(ISNUMBER(SEARCH("Blast",$L52)),(4+$G52+(2-$G52)*0.5)/6*2,(4+$G52)/6)) *
_xlfn.IFS(AQ$24-$I52 &lt;=1, 5/6, AQ$24-$I52 &lt;=5, (7-(AQ$24-$I52))/6, AND(AQ$24-$I52 =6,NOT(_xlfn.IFNA(ISNUMBER(SEARCH("Rending",$L52)),FALSE))), (7-(AQ$24-$I52))/6, AND(AQ$24-$I52 &gt;=7,NOT(_xlfn.IFNA(ISNUMBER(SEARCH("Rending",$L52)),FALSE))), 0, AQ$24-$I52 =7, (7-(AQ$24-1-$I52))/6, AQ$24-$I52 =8, (7-(AQ$24-2-$I52))/6*2/3, AQ$24-$I52 =9, (7-(AQ$24-3-$I52))/6*1/3, TRUE, 0) *
IF(ISNUMBER(SEARCH("Ordinance",$L52)),7/6,1) *
IF(OR(ISNUMBER(SEARCH("Melee",$L52)),ISNUMBER(SEARCH("Bypass",$L52))),1.5,1)</f>
        <v>0</v>
      </c>
      <c r="AU52" s="16"/>
    </row>
    <row r="53" spans="1:48" x14ac:dyDescent="0.3">
      <c r="A53" t="s">
        <v>137</v>
      </c>
      <c r="B53" s="3">
        <v>8</v>
      </c>
      <c r="C53" s="3">
        <v>24</v>
      </c>
      <c r="D53" s="3">
        <v>1</v>
      </c>
      <c r="E53" s="3">
        <v>1</v>
      </c>
      <c r="F53" s="10">
        <v>1</v>
      </c>
      <c r="G53" s="10">
        <v>0</v>
      </c>
      <c r="H53" s="3">
        <v>6</v>
      </c>
      <c r="I53" s="3">
        <v>5</v>
      </c>
      <c r="J53" s="3" t="s">
        <v>216</v>
      </c>
      <c r="K53" s="3">
        <v>15</v>
      </c>
      <c r="L53" s="3" t="s">
        <v>266</v>
      </c>
      <c r="M53" s="3" t="s">
        <v>199</v>
      </c>
      <c r="N53" s="3">
        <v>10</v>
      </c>
      <c r="O53" s="3">
        <v>10</v>
      </c>
      <c r="P53" s="3">
        <v>14</v>
      </c>
      <c r="Q53" s="3" t="s">
        <v>200</v>
      </c>
      <c r="R53" s="3">
        <v>7</v>
      </c>
      <c r="S53" s="3">
        <v>9</v>
      </c>
      <c r="T53" s="3">
        <v>3</v>
      </c>
      <c r="U53" t="s">
        <v>267</v>
      </c>
      <c r="V53" s="16">
        <f t="shared" si="1"/>
        <v>1.6666666666666665</v>
      </c>
      <c r="W53" s="16">
        <f t="shared" si="2"/>
        <v>2.5</v>
      </c>
      <c r="X53" s="17" cm="1">
        <f t="array" ref="X53">$H53 *
IF(ISNUMBER(SEARCH("Rapid",$L53)),7/6,1) *
IF(OR(ISNUMBER(SEARCH("Beam",$L53)),ISNUMBER(SEARCH("Firestorm",$L53))),1, IF(ISNUMBER(SEARCH("Blast",$L53)),(4+$F53+(2-$F53)*0.5)/6*2,(4+$F53)/6)) *
IF(ISNUMBER(SEARCH("Fusion",$L53)), _xlfn.IFS(X$24-$I53 &lt;=1, 9/10, X$24-$I53 &lt;=10,(11-(X$24-$I53))/10, X$24-$I53 &gt;=11, 0),
_xlfn.IFS(X$24-$I53 &lt;=1, 5/6, X$24-$I53 &lt;=5, (7-(X$24-$I53))/6, AND(X$24-$I53 =6,NOT(_xlfn.IFNA(ISNUMBER(SEARCH("Rending",$L53)),FALSE))), (7-(X$24-$I53))/6, AND(X$24-$I53 &gt;=7,NOT(_xlfn.IFNA(ISNUMBER(SEARCH("Rending",$L53)),FALSE))), 0, X$24-$I53 =7, (7-(X$24-1-$I53))/6, X$24-$I53 =8, (7-(X$24-2-$I53))/6*2/3, X$24-$I53 =9, (7-(X$24-3-$I53))/6*1/3, TRUE, 0)) *
IF(ISNUMBER(SEARCH("Ordinance",$L53)),7/6,1) *
IF(OR(ISNUMBER(SEARCH("Melee",$L53)),ISNUMBER(SEARCH("Bypass",$L53))),1.5,1)</f>
        <v>2.916666666666667</v>
      </c>
      <c r="Y53" s="17" cm="1">
        <f t="array" ref="Y53">$H53 *
IF(ISNUMBER(SEARCH("Rapid",$L53)),7/6,1) *
IF(OR(ISNUMBER(SEARCH("Beam",$L53)),ISNUMBER(SEARCH("Firestorm",$L53))),1, IF(ISNUMBER(SEARCH("Blast",$L53)),(4+$F53+(2-$F53)*0.5)/6*2,(4+$F53)/6)) *
IF(ISNUMBER(SEARCH("Fusion",$L53)), _xlfn.IFS(Y$24-$I53 &lt;=1, 9/10, Y$24-$I53 &lt;=10,(11-(Y$24-$I53))/10, Y$24-$I53 &gt;=11, 0),
_xlfn.IFS(Y$24-$I53 &lt;=1, 5/6, Y$24-$I53 &lt;=5, (7-(Y$24-$I53))/6, AND(Y$24-$I53 =6,NOT(_xlfn.IFNA(ISNUMBER(SEARCH("Rending",$L53)),FALSE))), (7-(Y$24-$I53))/6, AND(Y$24-$I53 &gt;=7,NOT(_xlfn.IFNA(ISNUMBER(SEARCH("Rending",$L53)),FALSE))), 0, Y$24-$I53 =7, (7-(Y$24-1-$I53))/6, Y$24-$I53 =8, (7-(Y$24-2-$I53))/6*2/3, Y$24-$I53 =9, (7-(Y$24-3-$I53))/6*1/3, TRUE, 0)) *
IF(ISNUMBER(SEARCH("Ordinance",$L53)),7/6,1) *
IF(OR(ISNUMBER(SEARCH("Melee",$L53)),ISNUMBER(SEARCH("Bypass",$L53))),1.5,1)</f>
        <v>1.9444444444444444</v>
      </c>
      <c r="Z53" s="17" cm="1">
        <f t="array" ref="Z53">$H53 *
IF(ISNUMBER(SEARCH("Rapid",$L53)),7/6,1) *
IF(OR(ISNUMBER(SEARCH("Beam",$L53)),ISNUMBER(SEARCH("Firestorm",$L53))),1, IF(ISNUMBER(SEARCH("Blast",$L53)),(4+$F53+(2-$F53)*0.5)/6*2,(4+$F53)/6)) *
IF(ISNUMBER(SEARCH("Fusion",$L53)), _xlfn.IFS(Z$24-$I53 &lt;=1, 9/10, Z$24-$I53 &lt;=10,(11-(Z$24-$I53))/10, Z$24-$I53 &gt;=11, 0),
_xlfn.IFS(Z$24-$I53 &lt;=1, 5/6, Z$24-$I53 &lt;=5, (7-(Z$24-$I53))/6, AND(Z$24-$I53 =6,NOT(_xlfn.IFNA(ISNUMBER(SEARCH("Rending",$L53)),FALSE))), (7-(Z$24-$I53))/6, AND(Z$24-$I53 &gt;=7,NOT(_xlfn.IFNA(ISNUMBER(SEARCH("Rending",$L53)),FALSE))), 0, Z$24-$I53 =7, (7-(Z$24-1-$I53))/6, Z$24-$I53 =8, (7-(Z$24-2-$I53))/6*2/3, Z$24-$I53 =9, (7-(Z$24-3-$I53))/6*1/3, TRUE, 0)) *
IF(ISNUMBER(SEARCH("Ordinance",$L53)),7/6,1) *
IF(OR(ISNUMBER(SEARCH("Melee",$L53)),ISNUMBER(SEARCH("Bypass",$L53))),1.5,1)</f>
        <v>0.97222222222222221</v>
      </c>
      <c r="AA53" s="17" cm="1">
        <f t="array" ref="AA53">$H53 *
IF(ISNUMBER(SEARCH("Rapid",$L53)),7/6,1) *
IF(OR(ISNUMBER(SEARCH("Beam",$L53)),ISNUMBER(SEARCH("Firestorm",$L53))),1, IF(ISNUMBER(SEARCH("Blast",$L53)),(4+$F53+(2-$F53)*0.5)/6*2,(4+$F53)/6)) *
IF(ISNUMBER(SEARCH("Fusion",$L53)), _xlfn.IFS(AA$24-$I53 &lt;=1, 9/10, AA$24-$I53 &lt;=10,(11-(AA$24-$I53))/10, AA$24-$I53 &gt;=11, 0),
_xlfn.IFS(AA$24-$I53 &lt;=1, 5/6, AA$24-$I53 &lt;=5, (7-(AA$24-$I53))/6, AND(AA$24-$I53 =6,NOT(_xlfn.IFNA(ISNUMBER(SEARCH("Rending",$L53)),FALSE))), (7-(AA$24-$I53))/6, AND(AA$24-$I53 &gt;=7,NOT(_xlfn.IFNA(ISNUMBER(SEARCH("Rending",$L53)),FALSE))), 0, AA$24-$I53 =7, (7-(AA$24-1-$I53))/6, AA$24-$I53 =8, (7-(AA$24-2-$I53))/6*2/3, AA$24-$I53 =9, (7-(AA$24-3-$I53))/6*1/3, TRUE, 0)) *
IF(ISNUMBER(SEARCH("Ordinance",$L53)),7/6,1) *
IF(OR(ISNUMBER(SEARCH("Melee",$L53)),ISNUMBER(SEARCH("Bypass",$L53))),1.5,1)</f>
        <v>0</v>
      </c>
      <c r="AB53" s="17" cm="1">
        <f t="array" ref="AB53">$H53 *
IF(ISNUMBER(SEARCH("Rapid",$L53)),7/6,1) *
IF(OR(ISNUMBER(SEARCH("Beam",$L53)),ISNUMBER(SEARCH("Firestorm",$L53))),1, IF(ISNUMBER(SEARCH("Blast",$L53)),(4+$F53+(2-$F53)*0.5)/6*2,(4+$F53)/6)) *
IF(ISNUMBER(SEARCH("Fusion",$L53)), _xlfn.IFS(AB$24-$I53 &lt;=1, 9/10, AB$24-$I53 &lt;=10,(11-(AB$24-$I53))/10, AB$24-$I53 &gt;=11, 0),
_xlfn.IFS(AB$24-$I53 &lt;=1, 5/6, AB$24-$I53 &lt;=5, (7-(AB$24-$I53))/6, AND(AB$24-$I53 =6,NOT(_xlfn.IFNA(ISNUMBER(SEARCH("Rending",$L53)),FALSE))), (7-(AB$24-$I53))/6, AND(AB$24-$I53 &gt;=7,NOT(_xlfn.IFNA(ISNUMBER(SEARCH("Rending",$L53)),FALSE))), 0, AB$24-$I53 =7, (7-(AB$24-1-$I53))/6, AB$24-$I53 =8, (7-(AB$24-2-$I53))/6*2/3, AB$24-$I53 =9, (7-(AB$24-3-$I53))/6*1/3, TRUE, 0)) *
IF(ISNUMBER(SEARCH("Ordinance",$L53)),7/6,1) *
IF(OR(ISNUMBER(SEARCH("Melee",$L53)),ISNUMBER(SEARCH("Bypass",$L53))),1.5,1)</f>
        <v>0</v>
      </c>
      <c r="AC53" s="17" cm="1">
        <f t="array" ref="AC53">$H53 *
IF(ISNUMBER(SEARCH("Rapid",$L53)),7/6,1) *
IF(OR(ISNUMBER(SEARCH("Beam",$L53)),ISNUMBER(SEARCH("Firestorm",$L53))),1, IF(ISNUMBER(SEARCH("Blast",$L53)),(4+$F53+(2-$F53)*0.5)/6*2,(4+$F53)/6)) *
IF(ISNUMBER(SEARCH("Fusion",$L53)), _xlfn.IFS(AC$24-$I53 &lt;=1, 9/10, AC$24-$I53 &lt;=10,(11-(AC$24-$I53))/10, AC$24-$I53 &gt;=11, 0),
_xlfn.IFS(AC$24-$I53 &lt;=1, 5/6, AC$24-$I53 &lt;=5, (7-(AC$24-$I53))/6, AND(AC$24-$I53 =6,NOT(_xlfn.IFNA(ISNUMBER(SEARCH("Rending",$L53)),FALSE))), (7-(AC$24-$I53))/6, AND(AC$24-$I53 &gt;=7,NOT(_xlfn.IFNA(ISNUMBER(SEARCH("Rending",$L53)),FALSE))), 0, AC$24-$I53 =7, (7-(AC$24-1-$I53))/6, AC$24-$I53 =8, (7-(AC$24-2-$I53))/6*2/3, AC$24-$I53 =9, (7-(AC$24-3-$I53))/6*1/3, TRUE, 0)) *
IF(ISNUMBER(SEARCH("Ordinance",$L53)),7/6,1) *
IF(OR(ISNUMBER(SEARCH("Melee",$L53)),ISNUMBER(SEARCH("Bypass",$L53))),1.5,1)</f>
        <v>0</v>
      </c>
      <c r="AD53" s="17" cm="1">
        <f t="array" ref="AD53">$H53 *
IF(ISNUMBER(SEARCH("Rapid",$L53)),7/6,1) *
IF(OR(ISNUMBER(SEARCH("Beam",$L53)),ISNUMBER(SEARCH("Firestorm",$L53))),1, IF(ISNUMBER(SEARCH("Blast",$L53)),(4+$F53+(2-$F53)*0.5)/6*2,(4+$F53)/6)) *
IF(ISNUMBER(SEARCH("Fusion",$L53)), _xlfn.IFS(AD$24-$I53 &lt;=1, 9/10, AD$24-$I53 &lt;=10,(11-(AD$24-$I53))/10, AD$24-$I53 &gt;=11, 0),
_xlfn.IFS(AD$24-$I53 &lt;=1, 5/6, AD$24-$I53 &lt;=5, (7-(AD$24-$I53))/6, AND(AD$24-$I53 =6,NOT(_xlfn.IFNA(ISNUMBER(SEARCH("Rending",$L53)),FALSE))), (7-(AD$24-$I53))/6, AND(AD$24-$I53 &gt;=7,NOT(_xlfn.IFNA(ISNUMBER(SEARCH("Rending",$L53)),FALSE))), 0, AD$24-$I53 =7, (7-(AD$24-1-$I53))/6, AD$24-$I53 =8, (7-(AD$24-2-$I53))/6*2/3, AD$24-$I53 =9, (7-(AD$24-3-$I53))/6*1/3, TRUE, 0)) *
IF(ISNUMBER(SEARCH("Ordinance",$L53)),7/6,1) *
IF(OR(ISNUMBER(SEARCH("Melee",$L53)),ISNUMBER(SEARCH("Bypass",$L53))),1.5,1)</f>
        <v>0</v>
      </c>
      <c r="AE53" s="17" cm="1">
        <f t="array" ref="AE53">$H53 *
IF(ISNUMBER(SEARCH("Rapid",$L53)),7/6,1) *
IF(OR(ISNUMBER(SEARCH("Beam",$L53)),ISNUMBER(SEARCH("Firestorm",$L53))),1, IF(ISNUMBER(SEARCH("Blast",$L53)),(4+$F53+(2-$F53)*0.5)/6*2,(4+$F53)/6)) *
IF(ISNUMBER(SEARCH("Fusion",$L53)), _xlfn.IFS(AE$24-$I53 &lt;=1, 9/10, AE$24-$I53 &lt;=10,(11-(AE$24-$I53))/10, AE$24-$I53 &gt;=11, 0),
_xlfn.IFS(AE$24-$I53 &lt;=1, 5/6, AE$24-$I53 &lt;=5, (7-(AE$24-$I53))/6, AND(AE$24-$I53 =6,NOT(_xlfn.IFNA(ISNUMBER(SEARCH("Rending",$L53)),FALSE))), (7-(AE$24-$I53))/6, AND(AE$24-$I53 &gt;=7,NOT(_xlfn.IFNA(ISNUMBER(SEARCH("Rending",$L53)),FALSE))), 0, AE$24-$I53 =7, (7-(AE$24-1-$I53))/6, AE$24-$I53 =8, (7-(AE$24-2-$I53))/6*2/3, AE$24-$I53 =9, (7-(AE$24-3-$I53))/6*1/3, TRUE, 0)) *
IF(ISNUMBER(SEARCH("Ordinance",$L53)),7/6,1) *
IF(OR(ISNUMBER(SEARCH("Melee",$L53)),ISNUMBER(SEARCH("Bypass",$L53))),1.5,1)</f>
        <v>0</v>
      </c>
      <c r="AF53" s="17" cm="1">
        <f t="array" ref="AF53">$H53 *
IF(ISNUMBER(SEARCH("Rapid",$L53)),7/6,1) *
IF(OR(ISNUMBER(SEARCH("Beam",$L53)),ISNUMBER(SEARCH("Firestorm",$L53))),1, IF(ISNUMBER(SEARCH("Blast",$L53)),(4+$F53+(2-$F53)*0.5)/6*2,(4+$F53)/6)) *
IF(ISNUMBER(SEARCH("Fusion",$L53)), _xlfn.IFS(AF$24-$I53 &lt;=1, 9/10, AF$24-$I53 &lt;=10,(11-(AF$24-$I53))/10, AF$24-$I53 &gt;=11, 0),
_xlfn.IFS(AF$24-$I53 &lt;=1, 5/6, AF$24-$I53 &lt;=5, (7-(AF$24-$I53))/6, AND(AF$24-$I53 =6,NOT(_xlfn.IFNA(ISNUMBER(SEARCH("Rending",$L53)),FALSE))), (7-(AF$24-$I53))/6, AND(AF$24-$I53 &gt;=7,NOT(_xlfn.IFNA(ISNUMBER(SEARCH("Rending",$L53)),FALSE))), 0, AF$24-$I53 =7, (7-(AF$24-1-$I53))/6, AF$24-$I53 =8, (7-(AF$24-2-$I53))/6*2/3, AF$24-$I53 =9, (7-(AF$24-3-$I53))/6*1/3, TRUE, 0)) *
IF(ISNUMBER(SEARCH("Ordinance",$L53)),7/6,1) *
IF(OR(ISNUMBER(SEARCH("Melee",$L53)),ISNUMBER(SEARCH("Bypass",$L53))),1.5,1)</f>
        <v>0</v>
      </c>
      <c r="AG53" s="16">
        <f t="shared" si="3"/>
        <v>1.3333333333333333</v>
      </c>
      <c r="AH53" s="16">
        <f t="shared" si="4"/>
        <v>2</v>
      </c>
      <c r="AI53" s="17" cm="1">
        <f t="array" ref="AI53">$H53 *
IF(ISNUMBER(SEARCH("Rapid",$L53)),7/6,1) *
IF(OR(ISNUMBER(SEARCH("Beam",$L53)),ISNUMBER(SEARCH("Firestorm",$L53))),1, IF(ISNUMBER(SEARCH("Blast",$L53)),(4+$G53+(2-$G53)*0.5)/6*2,(4+$G53)/6)) *
_xlfn.IFS(AI$24-$I53 &lt;=1, 5/6, AI$24-$I53 &lt;=5, (7-(AI$24-$I53))/6, AND(AI$24-$I53 =6,NOT(_xlfn.IFNA(ISNUMBER(SEARCH("Rending",$L53)),FALSE))), (7-(AI$24-$I53))/6, AND(AI$24-$I53 &gt;=7,NOT(_xlfn.IFNA(ISNUMBER(SEARCH("Rending",$L53)),FALSE))), 0, AI$24-$I53 =7, (7-(AI$24-1-$I53))/6, AI$24-$I53 =8, (7-(AI$24-2-$I53))/6*2/3, AI$24-$I53 =9, (7-(AI$24-3-$I53))/6*1/3, TRUE, 0) *
IF(ISNUMBER(SEARCH("Ordinance",$L53)),7/6,1) *
IF(OR(ISNUMBER(SEARCH("Melee",$L53)),ISNUMBER(SEARCH("Bypass",$L53))),1.5,1)</f>
        <v>2.3333333333333335</v>
      </c>
      <c r="AJ53" s="17" cm="1">
        <f t="array" ref="AJ53">$H53 *
IF(ISNUMBER(SEARCH("Rapid",$L53)),7/6,1) *
IF(OR(ISNUMBER(SEARCH("Beam",$L53)),ISNUMBER(SEARCH("Firestorm",$L53))),1, IF(ISNUMBER(SEARCH("Blast",$L53)),(4+$G53+(2-$G53)*0.5)/6*2,(4+$G53)/6)) *
_xlfn.IFS(AJ$24-$I53 &lt;=1, 5/6, AJ$24-$I53 &lt;=5, (7-(AJ$24-$I53))/6, AND(AJ$24-$I53 =6,NOT(_xlfn.IFNA(ISNUMBER(SEARCH("Rending",$L53)),FALSE))), (7-(AJ$24-$I53))/6, AND(AJ$24-$I53 &gt;=7,NOT(_xlfn.IFNA(ISNUMBER(SEARCH("Rending",$L53)),FALSE))), 0, AJ$24-$I53 =7, (7-(AJ$24-1-$I53))/6, AJ$24-$I53 =8, (7-(AJ$24-2-$I53))/6*2/3, AJ$24-$I53 =9, (7-(AJ$24-3-$I53))/6*1/3, TRUE, 0) *
IF(ISNUMBER(SEARCH("Ordinance",$L53)),7/6,1) *
IF(OR(ISNUMBER(SEARCH("Melee",$L53)),ISNUMBER(SEARCH("Bypass",$L53))),1.5,1)</f>
        <v>1.5555555555555556</v>
      </c>
      <c r="AK53" s="17" cm="1">
        <f t="array" ref="AK53">$H53 *
IF(ISNUMBER(SEARCH("Rapid",$L53)),7/6,1) *
IF(OR(ISNUMBER(SEARCH("Beam",$L53)),ISNUMBER(SEARCH("Firestorm",$L53))),1, IF(ISNUMBER(SEARCH("Blast",$L53)),(4+$G53+(2-$G53)*0.5)/6*2,(4+$G53)/6)) *
_xlfn.IFS(AK$24-$I53 &lt;=1, 5/6, AK$24-$I53 &lt;=5, (7-(AK$24-$I53))/6, AND(AK$24-$I53 =6,NOT(_xlfn.IFNA(ISNUMBER(SEARCH("Rending",$L53)),FALSE))), (7-(AK$24-$I53))/6, AND(AK$24-$I53 &gt;=7,NOT(_xlfn.IFNA(ISNUMBER(SEARCH("Rending",$L53)),FALSE))), 0, AK$24-$I53 =7, (7-(AK$24-1-$I53))/6, AK$24-$I53 =8, (7-(AK$24-2-$I53))/6*2/3, AK$24-$I53 =9, (7-(AK$24-3-$I53))/6*1/3, TRUE, 0) *
IF(ISNUMBER(SEARCH("Ordinance",$L53)),7/6,1) *
IF(OR(ISNUMBER(SEARCH("Melee",$L53)),ISNUMBER(SEARCH("Bypass",$L53))),1.5,1)</f>
        <v>0.77777777777777779</v>
      </c>
      <c r="AL53" s="17" cm="1">
        <f t="array" ref="AL53">$H53 *
IF(ISNUMBER(SEARCH("Rapid",$L53)),7/6,1) *
IF(OR(ISNUMBER(SEARCH("Beam",$L53)),ISNUMBER(SEARCH("Firestorm",$L53))),1, IF(ISNUMBER(SEARCH("Blast",$L53)),(4+$G53+(2-$G53)*0.5)/6*2,(4+$G53)/6)) *
_xlfn.IFS(AL$24-$I53 &lt;=1, 5/6, AL$24-$I53 &lt;=5, (7-(AL$24-$I53))/6, AND(AL$24-$I53 =6,NOT(_xlfn.IFNA(ISNUMBER(SEARCH("Rending",$L53)),FALSE))), (7-(AL$24-$I53))/6, AND(AL$24-$I53 &gt;=7,NOT(_xlfn.IFNA(ISNUMBER(SEARCH("Rending",$L53)),FALSE))), 0, AL$24-$I53 =7, (7-(AL$24-1-$I53))/6, AL$24-$I53 =8, (7-(AL$24-2-$I53))/6*2/3, AL$24-$I53 =9, (7-(AL$24-3-$I53))/6*1/3, TRUE, 0) *
IF(ISNUMBER(SEARCH("Ordinance",$L53)),7/6,1) *
IF(OR(ISNUMBER(SEARCH("Melee",$L53)),ISNUMBER(SEARCH("Bypass",$L53))),1.5,1)</f>
        <v>0</v>
      </c>
      <c r="AM53" s="17" cm="1">
        <f t="array" ref="AM53">$H53 *
IF(ISNUMBER(SEARCH("Rapid",$L53)),7/6,1) *
IF(OR(ISNUMBER(SEARCH("Beam",$L53)),ISNUMBER(SEARCH("Firestorm",$L53))),1, IF(ISNUMBER(SEARCH("Blast",$L53)),(4+$G53+(2-$G53)*0.5)/6*2,(4+$G53)/6)) *
_xlfn.IFS(AM$24-$I53 &lt;=1, 5/6, AM$24-$I53 &lt;=5, (7-(AM$24-$I53))/6, AND(AM$24-$I53 =6,NOT(_xlfn.IFNA(ISNUMBER(SEARCH("Rending",$L53)),FALSE))), (7-(AM$24-$I53))/6, AND(AM$24-$I53 &gt;=7,NOT(_xlfn.IFNA(ISNUMBER(SEARCH("Rending",$L53)),FALSE))), 0, AM$24-$I53 =7, (7-(AM$24-1-$I53))/6, AM$24-$I53 =8, (7-(AM$24-2-$I53))/6*2/3, AM$24-$I53 =9, (7-(AM$24-3-$I53))/6*1/3, TRUE, 0) *
IF(ISNUMBER(SEARCH("Ordinance",$L53)),7/6,1) *
IF(OR(ISNUMBER(SEARCH("Melee",$L53)),ISNUMBER(SEARCH("Bypass",$L53))),1.5,1)</f>
        <v>0</v>
      </c>
      <c r="AN53" s="17" cm="1">
        <f t="array" ref="AN53">$H53 *
IF(ISNUMBER(SEARCH("Rapid",$L53)),7/6,1) *
IF(OR(ISNUMBER(SEARCH("Beam",$L53)),ISNUMBER(SEARCH("Firestorm",$L53))),1, IF(ISNUMBER(SEARCH("Blast",$L53)),(4+$G53+(2-$G53)*0.5)/6*2,(4+$G53)/6)) *
_xlfn.IFS(AN$24-$I53 &lt;=1, 5/6, AN$24-$I53 &lt;=5, (7-(AN$24-$I53))/6, AND(AN$24-$I53 =6,NOT(_xlfn.IFNA(ISNUMBER(SEARCH("Rending",$L53)),FALSE))), (7-(AN$24-$I53))/6, AND(AN$24-$I53 &gt;=7,NOT(_xlfn.IFNA(ISNUMBER(SEARCH("Rending",$L53)),FALSE))), 0, AN$24-$I53 =7, (7-(AN$24-1-$I53))/6, AN$24-$I53 =8, (7-(AN$24-2-$I53))/6*2/3, AN$24-$I53 =9, (7-(AN$24-3-$I53))/6*1/3, TRUE, 0) *
IF(ISNUMBER(SEARCH("Ordinance",$L53)),7/6,1) *
IF(OR(ISNUMBER(SEARCH("Melee",$L53)),ISNUMBER(SEARCH("Bypass",$L53))),1.5,1)</f>
        <v>0</v>
      </c>
      <c r="AO53" s="17" cm="1">
        <f t="array" ref="AO53">$H53 *
IF(ISNUMBER(SEARCH("Rapid",$L53)),7/6,1) *
IF(OR(ISNUMBER(SEARCH("Beam",$L53)),ISNUMBER(SEARCH("Firestorm",$L53))),1, IF(ISNUMBER(SEARCH("Blast",$L53)),(4+$G53+(2-$G53)*0.5)/6*2,(4+$G53)/6)) *
_xlfn.IFS(AO$24-$I53 &lt;=1, 5/6, AO$24-$I53 &lt;=5, (7-(AO$24-$I53))/6, AND(AO$24-$I53 =6,NOT(_xlfn.IFNA(ISNUMBER(SEARCH("Rending",$L53)),FALSE))), (7-(AO$24-$I53))/6, AND(AO$24-$I53 &gt;=7,NOT(_xlfn.IFNA(ISNUMBER(SEARCH("Rending",$L53)),FALSE))), 0, AO$24-$I53 =7, (7-(AO$24-1-$I53))/6, AO$24-$I53 =8, (7-(AO$24-2-$I53))/6*2/3, AO$24-$I53 =9, (7-(AO$24-3-$I53))/6*1/3, TRUE, 0) *
IF(ISNUMBER(SEARCH("Ordinance",$L53)),7/6,1) *
IF(OR(ISNUMBER(SEARCH("Melee",$L53)),ISNUMBER(SEARCH("Bypass",$L53))),1.5,1)</f>
        <v>0</v>
      </c>
      <c r="AP53" s="17" cm="1">
        <f t="array" ref="AP53">$H53 *
IF(ISNUMBER(SEARCH("Rapid",$L53)),7/6,1) *
IF(OR(ISNUMBER(SEARCH("Beam",$L53)),ISNUMBER(SEARCH("Firestorm",$L53))),1, IF(ISNUMBER(SEARCH("Blast",$L53)),(4+$G53+(2-$G53)*0.5)/6*2,(4+$G53)/6)) *
_xlfn.IFS(AP$24-$I53 &lt;=1, 5/6, AP$24-$I53 &lt;=5, (7-(AP$24-$I53))/6, AND(AP$24-$I53 =6,NOT(_xlfn.IFNA(ISNUMBER(SEARCH("Rending",$L53)),FALSE))), (7-(AP$24-$I53))/6, AND(AP$24-$I53 &gt;=7,NOT(_xlfn.IFNA(ISNUMBER(SEARCH("Rending",$L53)),FALSE))), 0, AP$24-$I53 =7, (7-(AP$24-1-$I53))/6, AP$24-$I53 =8, (7-(AP$24-2-$I53))/6*2/3, AP$24-$I53 =9, (7-(AP$24-3-$I53))/6*1/3, TRUE, 0) *
IF(ISNUMBER(SEARCH("Ordinance",$L53)),7/6,1) *
IF(OR(ISNUMBER(SEARCH("Melee",$L53)),ISNUMBER(SEARCH("Bypass",$L53))),1.5,1)</f>
        <v>0</v>
      </c>
      <c r="AQ53" s="17" cm="1">
        <f t="array" ref="AQ53">$H53 *
IF(ISNUMBER(SEARCH("Rapid",$L53)),7/6,1) *
IF(OR(ISNUMBER(SEARCH("Beam",$L53)),ISNUMBER(SEARCH("Firestorm",$L53))),1, IF(ISNUMBER(SEARCH("Blast",$L53)),(4+$G53+(2-$G53)*0.5)/6*2,(4+$G53)/6)) *
_xlfn.IFS(AQ$24-$I53 &lt;=1, 5/6, AQ$24-$I53 &lt;=5, (7-(AQ$24-$I53))/6, AND(AQ$24-$I53 =6,NOT(_xlfn.IFNA(ISNUMBER(SEARCH("Rending",$L53)),FALSE))), (7-(AQ$24-$I53))/6, AND(AQ$24-$I53 &gt;=7,NOT(_xlfn.IFNA(ISNUMBER(SEARCH("Rending",$L53)),FALSE))), 0, AQ$24-$I53 =7, (7-(AQ$24-1-$I53))/6, AQ$24-$I53 =8, (7-(AQ$24-2-$I53))/6*2/3, AQ$24-$I53 =9, (7-(AQ$24-3-$I53))/6*1/3, TRUE, 0) *
IF(ISNUMBER(SEARCH("Ordinance",$L53)),7/6,1) *
IF(OR(ISNUMBER(SEARCH("Melee",$L53)),ISNUMBER(SEARCH("Bypass",$L53))),1.5,1)</f>
        <v>0</v>
      </c>
      <c r="AS53" s="16">
        <f>IF($E53=1,AG53*3,IF($E53=2,2*AG53,1.1*AG53))/3</f>
        <v>1.3333333333333333</v>
      </c>
      <c r="AT53" s="16">
        <f>IF($E53=1,AH53*3,IF($E53=2,2*AH53,1.1*AH53))/3</f>
        <v>2</v>
      </c>
      <c r="AU53" s="16">
        <f t="shared" ref="AU53:AU73" si="9">IF(D53+E53=3,
 IF(E53=3, 2.5*AI53,
  IF(E53=2, 1.8*AI53+0.7*X53,
   IF(E53=1, 0.95*AI53+1.55*X53,
    2.5*X53))),
 IF(D53+E53=2,
  IF(E53=2, 1.55*AI53,
   IF(E53 =1, 0.85*AI53+0.7*X53,
    1.55*X53)),
  IF(E53=1, 0.95*AI53,
   0.7*X53))
)/3</f>
        <v>1.3416666666666668</v>
      </c>
      <c r="AV53" s="2">
        <v>9</v>
      </c>
    </row>
    <row r="54" spans="1:48" x14ac:dyDescent="0.3">
      <c r="A54" t="s">
        <v>207</v>
      </c>
      <c r="B54" s="3">
        <v>2</v>
      </c>
      <c r="C54" s="3">
        <v>2</v>
      </c>
      <c r="D54" s="3">
        <v>1</v>
      </c>
      <c r="E54" s="3">
        <v>0</v>
      </c>
      <c r="F54" s="10">
        <v>2</v>
      </c>
      <c r="G54" s="10">
        <v>0</v>
      </c>
      <c r="H54" s="3">
        <v>3</v>
      </c>
      <c r="I54" s="3">
        <v>8</v>
      </c>
      <c r="J54" s="3" t="s">
        <v>216</v>
      </c>
      <c r="K54" s="3">
        <v>20</v>
      </c>
      <c r="L54" s="3" t="s">
        <v>217</v>
      </c>
      <c r="M54" s="3" t="s">
        <v>199</v>
      </c>
      <c r="N54" s="3">
        <v>10</v>
      </c>
      <c r="O54" s="3">
        <v>10</v>
      </c>
      <c r="P54" s="3">
        <v>14</v>
      </c>
      <c r="Q54" s="3" t="s">
        <v>200</v>
      </c>
      <c r="R54" s="3">
        <v>7</v>
      </c>
      <c r="S54" s="3">
        <v>9</v>
      </c>
      <c r="T54" s="3">
        <v>2</v>
      </c>
      <c r="V54" s="16">
        <f t="shared" si="1"/>
        <v>0</v>
      </c>
      <c r="W54" s="16">
        <f t="shared" si="2"/>
        <v>0</v>
      </c>
      <c r="X54" s="17" cm="1">
        <f t="array" ref="X54">$H54 *
IF(ISNUMBER(SEARCH("Rapid",$L54)),7/6,1) *
IF(OR(ISNUMBER(SEARCH("Beam",$L54)),ISNUMBER(SEARCH("Firestorm",$L54))),1, IF(ISNUMBER(SEARCH("Blast",$L54)),(4+$F54+(2-$F54)*0.5)/6*2,(4+$F54)/6)) *
IF(ISNUMBER(SEARCH("Fusion",$L54)), _xlfn.IFS(X$24-$I54 &lt;=1, 9/10, X$24-$I54 &lt;=10,(11-(X$24-$I54))/10, X$24-$I54 &gt;=11, 0),
_xlfn.IFS(X$24-$I54 &lt;=1, 5/6, X$24-$I54 &lt;=5, (7-(X$24-$I54))/6, AND(X$24-$I54 =6,NOT(_xlfn.IFNA(ISNUMBER(SEARCH("Rending",$L54)),FALSE))), (7-(X$24-$I54))/6, AND(X$24-$I54 &gt;=7,NOT(_xlfn.IFNA(ISNUMBER(SEARCH("Rending",$L54)),FALSE))), 0, X$24-$I54 =7, (7-(X$24-1-$I54))/6, X$24-$I54 =8, (7-(X$24-2-$I54))/6*2/3, X$24-$I54 =9, (7-(X$24-3-$I54))/6*1/3, TRUE, 0)) *
IF(ISNUMBER(SEARCH("Ordinance",$L54)),7/6,1) *
IF(OR(ISNUMBER(SEARCH("Melee",$L54)),ISNUMBER(SEARCH("Bypass",$L54))),1.5,1)</f>
        <v>3.75</v>
      </c>
      <c r="Y54" s="17" cm="1">
        <f t="array" ref="Y54">$H54 *
IF(ISNUMBER(SEARCH("Rapid",$L54)),7/6,1) *
IF(OR(ISNUMBER(SEARCH("Beam",$L54)),ISNUMBER(SEARCH("Firestorm",$L54))),1, IF(ISNUMBER(SEARCH("Blast",$L54)),(4+$F54+(2-$F54)*0.5)/6*2,(4+$F54)/6)) *
IF(ISNUMBER(SEARCH("Fusion",$L54)), _xlfn.IFS(Y$24-$I54 &lt;=1, 9/10, Y$24-$I54 &lt;=10,(11-(Y$24-$I54))/10, Y$24-$I54 &gt;=11, 0),
_xlfn.IFS(Y$24-$I54 &lt;=1, 5/6, Y$24-$I54 &lt;=5, (7-(Y$24-$I54))/6, AND(Y$24-$I54 =6,NOT(_xlfn.IFNA(ISNUMBER(SEARCH("Rending",$L54)),FALSE))), (7-(Y$24-$I54))/6, AND(Y$24-$I54 &gt;=7,NOT(_xlfn.IFNA(ISNUMBER(SEARCH("Rending",$L54)),FALSE))), 0, Y$24-$I54 =7, (7-(Y$24-1-$I54))/6, Y$24-$I54 =8, (7-(Y$24-2-$I54))/6*2/3, Y$24-$I54 =9, (7-(Y$24-3-$I54))/6*1/3, TRUE, 0)) *
IF(ISNUMBER(SEARCH("Ordinance",$L54)),7/6,1) *
IF(OR(ISNUMBER(SEARCH("Melee",$L54)),ISNUMBER(SEARCH("Bypass",$L54))),1.5,1)</f>
        <v>3.75</v>
      </c>
      <c r="Z54" s="17" cm="1">
        <f t="array" ref="Z54">$H54 *
IF(ISNUMBER(SEARCH("Rapid",$L54)),7/6,1) *
IF(OR(ISNUMBER(SEARCH("Beam",$L54)),ISNUMBER(SEARCH("Firestorm",$L54))),1, IF(ISNUMBER(SEARCH("Blast",$L54)),(4+$F54+(2-$F54)*0.5)/6*2,(4+$F54)/6)) *
IF(ISNUMBER(SEARCH("Fusion",$L54)), _xlfn.IFS(Z$24-$I54 &lt;=1, 9/10, Z$24-$I54 &lt;=10,(11-(Z$24-$I54))/10, Z$24-$I54 &gt;=11, 0),
_xlfn.IFS(Z$24-$I54 &lt;=1, 5/6, Z$24-$I54 &lt;=5, (7-(Z$24-$I54))/6, AND(Z$24-$I54 =6,NOT(_xlfn.IFNA(ISNUMBER(SEARCH("Rending",$L54)),FALSE))), (7-(Z$24-$I54))/6, AND(Z$24-$I54 &gt;=7,NOT(_xlfn.IFNA(ISNUMBER(SEARCH("Rending",$L54)),FALSE))), 0, Z$24-$I54 =7, (7-(Z$24-1-$I54))/6, Z$24-$I54 =8, (7-(Z$24-2-$I54))/6*2/3, Z$24-$I54 =9, (7-(Z$24-3-$I54))/6*1/3, TRUE, 0)) *
IF(ISNUMBER(SEARCH("Ordinance",$L54)),7/6,1) *
IF(OR(ISNUMBER(SEARCH("Melee",$L54)),ISNUMBER(SEARCH("Bypass",$L54))),1.5,1)</f>
        <v>3</v>
      </c>
      <c r="AA54" s="17" cm="1">
        <f t="array" ref="AA54">$H54 *
IF(ISNUMBER(SEARCH("Rapid",$L54)),7/6,1) *
IF(OR(ISNUMBER(SEARCH("Beam",$L54)),ISNUMBER(SEARCH("Firestorm",$L54))),1, IF(ISNUMBER(SEARCH("Blast",$L54)),(4+$F54+(2-$F54)*0.5)/6*2,(4+$F54)/6)) *
IF(ISNUMBER(SEARCH("Fusion",$L54)), _xlfn.IFS(AA$24-$I54 &lt;=1, 9/10, AA$24-$I54 &lt;=10,(11-(AA$24-$I54))/10, AA$24-$I54 &gt;=11, 0),
_xlfn.IFS(AA$24-$I54 &lt;=1, 5/6, AA$24-$I54 &lt;=5, (7-(AA$24-$I54))/6, AND(AA$24-$I54 =6,NOT(_xlfn.IFNA(ISNUMBER(SEARCH("Rending",$L54)),FALSE))), (7-(AA$24-$I54))/6, AND(AA$24-$I54 &gt;=7,NOT(_xlfn.IFNA(ISNUMBER(SEARCH("Rending",$L54)),FALSE))), 0, AA$24-$I54 =7, (7-(AA$24-1-$I54))/6, AA$24-$I54 =8, (7-(AA$24-2-$I54))/6*2/3, AA$24-$I54 =9, (7-(AA$24-3-$I54))/6*1/3, TRUE, 0)) *
IF(ISNUMBER(SEARCH("Ordinance",$L54)),7/6,1) *
IF(OR(ISNUMBER(SEARCH("Melee",$L54)),ISNUMBER(SEARCH("Bypass",$L54))),1.5,1)</f>
        <v>2.25</v>
      </c>
      <c r="AB54" s="17" cm="1">
        <f t="array" ref="AB54">$H54 *
IF(ISNUMBER(SEARCH("Rapid",$L54)),7/6,1) *
IF(OR(ISNUMBER(SEARCH("Beam",$L54)),ISNUMBER(SEARCH("Firestorm",$L54))),1, IF(ISNUMBER(SEARCH("Blast",$L54)),(4+$F54+(2-$F54)*0.5)/6*2,(4+$F54)/6)) *
IF(ISNUMBER(SEARCH("Fusion",$L54)), _xlfn.IFS(AB$24-$I54 &lt;=1, 9/10, AB$24-$I54 &lt;=10,(11-(AB$24-$I54))/10, AB$24-$I54 &gt;=11, 0),
_xlfn.IFS(AB$24-$I54 &lt;=1, 5/6, AB$24-$I54 &lt;=5, (7-(AB$24-$I54))/6, AND(AB$24-$I54 =6,NOT(_xlfn.IFNA(ISNUMBER(SEARCH("Rending",$L54)),FALSE))), (7-(AB$24-$I54))/6, AND(AB$24-$I54 &gt;=7,NOT(_xlfn.IFNA(ISNUMBER(SEARCH("Rending",$L54)),FALSE))), 0, AB$24-$I54 =7, (7-(AB$24-1-$I54))/6, AB$24-$I54 =8, (7-(AB$24-2-$I54))/6*2/3, AB$24-$I54 =9, (7-(AB$24-3-$I54))/6*1/3, TRUE, 0)) *
IF(ISNUMBER(SEARCH("Ordinance",$L54)),7/6,1) *
IF(OR(ISNUMBER(SEARCH("Melee",$L54)),ISNUMBER(SEARCH("Bypass",$L54))),1.5,1)</f>
        <v>1.5</v>
      </c>
      <c r="AC54" s="17" cm="1">
        <f t="array" ref="AC54">$H54 *
IF(ISNUMBER(SEARCH("Rapid",$L54)),7/6,1) *
IF(OR(ISNUMBER(SEARCH("Beam",$L54)),ISNUMBER(SEARCH("Firestorm",$L54))),1, IF(ISNUMBER(SEARCH("Blast",$L54)),(4+$F54+(2-$F54)*0.5)/6*2,(4+$F54)/6)) *
IF(ISNUMBER(SEARCH("Fusion",$L54)), _xlfn.IFS(AC$24-$I54 &lt;=1, 9/10, AC$24-$I54 &lt;=10,(11-(AC$24-$I54))/10, AC$24-$I54 &gt;=11, 0),
_xlfn.IFS(AC$24-$I54 &lt;=1, 5/6, AC$24-$I54 &lt;=5, (7-(AC$24-$I54))/6, AND(AC$24-$I54 =6,NOT(_xlfn.IFNA(ISNUMBER(SEARCH("Rending",$L54)),FALSE))), (7-(AC$24-$I54))/6, AND(AC$24-$I54 &gt;=7,NOT(_xlfn.IFNA(ISNUMBER(SEARCH("Rending",$L54)),FALSE))), 0, AC$24-$I54 =7, (7-(AC$24-1-$I54))/6, AC$24-$I54 =8, (7-(AC$24-2-$I54))/6*2/3, AC$24-$I54 =9, (7-(AC$24-3-$I54))/6*1/3, TRUE, 0)) *
IF(ISNUMBER(SEARCH("Ordinance",$L54)),7/6,1) *
IF(OR(ISNUMBER(SEARCH("Melee",$L54)),ISNUMBER(SEARCH("Bypass",$L54))),1.5,1)</f>
        <v>0</v>
      </c>
      <c r="AD54" s="17" cm="1">
        <f t="array" ref="AD54">$H54 *
IF(ISNUMBER(SEARCH("Rapid",$L54)),7/6,1) *
IF(OR(ISNUMBER(SEARCH("Beam",$L54)),ISNUMBER(SEARCH("Firestorm",$L54))),1, IF(ISNUMBER(SEARCH("Blast",$L54)),(4+$F54+(2-$F54)*0.5)/6*2,(4+$F54)/6)) *
IF(ISNUMBER(SEARCH("Fusion",$L54)), _xlfn.IFS(AD$24-$I54 &lt;=1, 9/10, AD$24-$I54 &lt;=10,(11-(AD$24-$I54))/10, AD$24-$I54 &gt;=11, 0),
_xlfn.IFS(AD$24-$I54 &lt;=1, 5/6, AD$24-$I54 &lt;=5, (7-(AD$24-$I54))/6, AND(AD$24-$I54 =6,NOT(_xlfn.IFNA(ISNUMBER(SEARCH("Rending",$L54)),FALSE))), (7-(AD$24-$I54))/6, AND(AD$24-$I54 &gt;=7,NOT(_xlfn.IFNA(ISNUMBER(SEARCH("Rending",$L54)),FALSE))), 0, AD$24-$I54 =7, (7-(AD$24-1-$I54))/6, AD$24-$I54 =8, (7-(AD$24-2-$I54))/6*2/3, AD$24-$I54 =9, (7-(AD$24-3-$I54))/6*1/3, TRUE, 0)) *
IF(ISNUMBER(SEARCH("Ordinance",$L54)),7/6,1) *
IF(OR(ISNUMBER(SEARCH("Melee",$L54)),ISNUMBER(SEARCH("Bypass",$L54))),1.5,1)</f>
        <v>0.75</v>
      </c>
      <c r="AE54" s="17" cm="1">
        <f t="array" ref="AE54">$H54 *
IF(ISNUMBER(SEARCH("Rapid",$L54)),7/6,1) *
IF(OR(ISNUMBER(SEARCH("Beam",$L54)),ISNUMBER(SEARCH("Firestorm",$L54))),1, IF(ISNUMBER(SEARCH("Blast",$L54)),(4+$F54+(2-$F54)*0.5)/6*2,(4+$F54)/6)) *
IF(ISNUMBER(SEARCH("Fusion",$L54)), _xlfn.IFS(AE$24-$I54 &lt;=1, 9/10, AE$24-$I54 &lt;=10,(11-(AE$24-$I54))/10, AE$24-$I54 &gt;=11, 0),
_xlfn.IFS(AE$24-$I54 &lt;=1, 5/6, AE$24-$I54 &lt;=5, (7-(AE$24-$I54))/6, AND(AE$24-$I54 =6,NOT(_xlfn.IFNA(ISNUMBER(SEARCH("Rending",$L54)),FALSE))), (7-(AE$24-$I54))/6, AND(AE$24-$I54 &gt;=7,NOT(_xlfn.IFNA(ISNUMBER(SEARCH("Rending",$L54)),FALSE))), 0, AE$24-$I54 =7, (7-(AE$24-1-$I54))/6, AE$24-$I54 =8, (7-(AE$24-2-$I54))/6*2/3, AE$24-$I54 =9, (7-(AE$24-3-$I54))/6*1/3, TRUE, 0)) *
IF(ISNUMBER(SEARCH("Ordinance",$L54)),7/6,1) *
IF(OR(ISNUMBER(SEARCH("Melee",$L54)),ISNUMBER(SEARCH("Bypass",$L54))),1.5,1)</f>
        <v>0.5</v>
      </c>
      <c r="AF54" s="17" cm="1">
        <f t="array" ref="AF54">$H54 *
IF(ISNUMBER(SEARCH("Rapid",$L54)),7/6,1) *
IF(OR(ISNUMBER(SEARCH("Beam",$L54)),ISNUMBER(SEARCH("Firestorm",$L54))),1, IF(ISNUMBER(SEARCH("Blast",$L54)),(4+$F54+(2-$F54)*0.5)/6*2,(4+$F54)/6)) *
IF(ISNUMBER(SEARCH("Fusion",$L54)), _xlfn.IFS(AF$24-$I54 &lt;=1, 9/10, AF$24-$I54 &lt;=10,(11-(AF$24-$I54))/10, AF$24-$I54 &gt;=11, 0),
_xlfn.IFS(AF$24-$I54 &lt;=1, 5/6, AF$24-$I54 &lt;=5, (7-(AF$24-$I54))/6, AND(AF$24-$I54 =6,NOT(_xlfn.IFNA(ISNUMBER(SEARCH("Rending",$L54)),FALSE))), (7-(AF$24-$I54))/6, AND(AF$24-$I54 &gt;=7,NOT(_xlfn.IFNA(ISNUMBER(SEARCH("Rending",$L54)),FALSE))), 0, AF$24-$I54 =7, (7-(AF$24-1-$I54))/6, AF$24-$I54 =8, (7-(AF$24-2-$I54))/6*2/3, AF$24-$I54 =9, (7-(AF$24-3-$I54))/6*1/3, TRUE, 0)) *
IF(ISNUMBER(SEARCH("Ordinance",$L54)),7/6,1) *
IF(OR(ISNUMBER(SEARCH("Melee",$L54)),ISNUMBER(SEARCH("Bypass",$L54))),1.5,1)</f>
        <v>0.25</v>
      </c>
      <c r="AG54" s="16">
        <f t="shared" si="3"/>
        <v>0</v>
      </c>
      <c r="AH54" s="16">
        <f t="shared" si="4"/>
        <v>0</v>
      </c>
      <c r="AI54" s="17" cm="1">
        <f t="array" ref="AI54">$H54 *
IF(ISNUMBER(SEARCH("Rapid",$L54)),7/6,1) *
IF(OR(ISNUMBER(SEARCH("Beam",$L54)),ISNUMBER(SEARCH("Firestorm",$L54))),1, IF(ISNUMBER(SEARCH("Blast",$L54)),(4+$G54+(2-$G54)*0.5)/6*2,(4+$G54)/6)) *
_xlfn.IFS(AI$24-$I54 &lt;=1, 5/6, AI$24-$I54 &lt;=5, (7-(AI$24-$I54))/6, AND(AI$24-$I54 =6,NOT(_xlfn.IFNA(ISNUMBER(SEARCH("Rending",$L54)),FALSE))), (7-(AI$24-$I54))/6, AND(AI$24-$I54 &gt;=7,NOT(_xlfn.IFNA(ISNUMBER(SEARCH("Rending",$L54)),FALSE))), 0, AI$24-$I54 =7, (7-(AI$24-1-$I54))/6, AI$24-$I54 =8, (7-(AI$24-2-$I54))/6*2/3, AI$24-$I54 =9, (7-(AI$24-3-$I54))/6*1/3, TRUE, 0) *
IF(ISNUMBER(SEARCH("Ordinance",$L54)),7/6,1) *
IF(OR(ISNUMBER(SEARCH("Melee",$L54)),ISNUMBER(SEARCH("Bypass",$L54))),1.5,1)</f>
        <v>2.5</v>
      </c>
      <c r="AJ54" s="17" cm="1">
        <f t="array" ref="AJ54">$H54 *
IF(ISNUMBER(SEARCH("Rapid",$L54)),7/6,1) *
IF(OR(ISNUMBER(SEARCH("Beam",$L54)),ISNUMBER(SEARCH("Firestorm",$L54))),1, IF(ISNUMBER(SEARCH("Blast",$L54)),(4+$G54+(2-$G54)*0.5)/6*2,(4+$G54)/6)) *
_xlfn.IFS(AJ$24-$I54 &lt;=1, 5/6, AJ$24-$I54 &lt;=5, (7-(AJ$24-$I54))/6, AND(AJ$24-$I54 =6,NOT(_xlfn.IFNA(ISNUMBER(SEARCH("Rending",$L54)),FALSE))), (7-(AJ$24-$I54))/6, AND(AJ$24-$I54 &gt;=7,NOT(_xlfn.IFNA(ISNUMBER(SEARCH("Rending",$L54)),FALSE))), 0, AJ$24-$I54 =7, (7-(AJ$24-1-$I54))/6, AJ$24-$I54 =8, (7-(AJ$24-2-$I54))/6*2/3, AJ$24-$I54 =9, (7-(AJ$24-3-$I54))/6*1/3, TRUE, 0) *
IF(ISNUMBER(SEARCH("Ordinance",$L54)),7/6,1) *
IF(OR(ISNUMBER(SEARCH("Melee",$L54)),ISNUMBER(SEARCH("Bypass",$L54))),1.5,1)</f>
        <v>2.5</v>
      </c>
      <c r="AK54" s="17" cm="1">
        <f t="array" ref="AK54">$H54 *
IF(ISNUMBER(SEARCH("Rapid",$L54)),7/6,1) *
IF(OR(ISNUMBER(SEARCH("Beam",$L54)),ISNUMBER(SEARCH("Firestorm",$L54))),1, IF(ISNUMBER(SEARCH("Blast",$L54)),(4+$G54+(2-$G54)*0.5)/6*2,(4+$G54)/6)) *
_xlfn.IFS(AK$24-$I54 &lt;=1, 5/6, AK$24-$I54 &lt;=5, (7-(AK$24-$I54))/6, AND(AK$24-$I54 =6,NOT(_xlfn.IFNA(ISNUMBER(SEARCH("Rending",$L54)),FALSE))), (7-(AK$24-$I54))/6, AND(AK$24-$I54 &gt;=7,NOT(_xlfn.IFNA(ISNUMBER(SEARCH("Rending",$L54)),FALSE))), 0, AK$24-$I54 =7, (7-(AK$24-1-$I54))/6, AK$24-$I54 =8, (7-(AK$24-2-$I54))/6*2/3, AK$24-$I54 =9, (7-(AK$24-3-$I54))/6*1/3, TRUE, 0) *
IF(ISNUMBER(SEARCH("Ordinance",$L54)),7/6,1) *
IF(OR(ISNUMBER(SEARCH("Melee",$L54)),ISNUMBER(SEARCH("Bypass",$L54))),1.5,1)</f>
        <v>2</v>
      </c>
      <c r="AL54" s="17" cm="1">
        <f t="array" ref="AL54">$H54 *
IF(ISNUMBER(SEARCH("Rapid",$L54)),7/6,1) *
IF(OR(ISNUMBER(SEARCH("Beam",$L54)),ISNUMBER(SEARCH("Firestorm",$L54))),1, IF(ISNUMBER(SEARCH("Blast",$L54)),(4+$G54+(2-$G54)*0.5)/6*2,(4+$G54)/6)) *
_xlfn.IFS(AL$24-$I54 &lt;=1, 5/6, AL$24-$I54 &lt;=5, (7-(AL$24-$I54))/6, AND(AL$24-$I54 =6,NOT(_xlfn.IFNA(ISNUMBER(SEARCH("Rending",$L54)),FALSE))), (7-(AL$24-$I54))/6, AND(AL$24-$I54 &gt;=7,NOT(_xlfn.IFNA(ISNUMBER(SEARCH("Rending",$L54)),FALSE))), 0, AL$24-$I54 =7, (7-(AL$24-1-$I54))/6, AL$24-$I54 =8, (7-(AL$24-2-$I54))/6*2/3, AL$24-$I54 =9, (7-(AL$24-3-$I54))/6*1/3, TRUE, 0) *
IF(ISNUMBER(SEARCH("Ordinance",$L54)),7/6,1) *
IF(OR(ISNUMBER(SEARCH("Melee",$L54)),ISNUMBER(SEARCH("Bypass",$L54))),1.5,1)</f>
        <v>1.5</v>
      </c>
      <c r="AM54" s="17" cm="1">
        <f t="array" ref="AM54">$H54 *
IF(ISNUMBER(SEARCH("Rapid",$L54)),7/6,1) *
IF(OR(ISNUMBER(SEARCH("Beam",$L54)),ISNUMBER(SEARCH("Firestorm",$L54))),1, IF(ISNUMBER(SEARCH("Blast",$L54)),(4+$G54+(2-$G54)*0.5)/6*2,(4+$G54)/6)) *
_xlfn.IFS(AM$24-$I54 &lt;=1, 5/6, AM$24-$I54 &lt;=5, (7-(AM$24-$I54))/6, AND(AM$24-$I54 =6,NOT(_xlfn.IFNA(ISNUMBER(SEARCH("Rending",$L54)),FALSE))), (7-(AM$24-$I54))/6, AND(AM$24-$I54 &gt;=7,NOT(_xlfn.IFNA(ISNUMBER(SEARCH("Rending",$L54)),FALSE))), 0, AM$24-$I54 =7, (7-(AM$24-1-$I54))/6, AM$24-$I54 =8, (7-(AM$24-2-$I54))/6*2/3, AM$24-$I54 =9, (7-(AM$24-3-$I54))/6*1/3, TRUE, 0) *
IF(ISNUMBER(SEARCH("Ordinance",$L54)),7/6,1) *
IF(OR(ISNUMBER(SEARCH("Melee",$L54)),ISNUMBER(SEARCH("Bypass",$L54))),1.5,1)</f>
        <v>1</v>
      </c>
      <c r="AN54" s="17" cm="1">
        <f t="array" ref="AN54">$H54 *
IF(ISNUMBER(SEARCH("Rapid",$L54)),7/6,1) *
IF(OR(ISNUMBER(SEARCH("Beam",$L54)),ISNUMBER(SEARCH("Firestorm",$L54))),1, IF(ISNUMBER(SEARCH("Blast",$L54)),(4+$G54+(2-$G54)*0.5)/6*2,(4+$G54)/6)) *
_xlfn.IFS(AN$24-$I54 &lt;=1, 5/6, AN$24-$I54 &lt;=5, (7-(AN$24-$I54))/6, AND(AN$24-$I54 =6,NOT(_xlfn.IFNA(ISNUMBER(SEARCH("Rending",$L54)),FALSE))), (7-(AN$24-$I54))/6, AND(AN$24-$I54 &gt;=7,NOT(_xlfn.IFNA(ISNUMBER(SEARCH("Rending",$L54)),FALSE))), 0, AN$24-$I54 =7, (7-(AN$24-1-$I54))/6, AN$24-$I54 =8, (7-(AN$24-2-$I54))/6*2/3, AN$24-$I54 =9, (7-(AN$24-3-$I54))/6*1/3, TRUE, 0) *
IF(ISNUMBER(SEARCH("Ordinance",$L54)),7/6,1) *
IF(OR(ISNUMBER(SEARCH("Melee",$L54)),ISNUMBER(SEARCH("Bypass",$L54))),1.5,1)</f>
        <v>0</v>
      </c>
      <c r="AO54" s="17" cm="1">
        <f t="array" ref="AO54">$H54 *
IF(ISNUMBER(SEARCH("Rapid",$L54)),7/6,1) *
IF(OR(ISNUMBER(SEARCH("Beam",$L54)),ISNUMBER(SEARCH("Firestorm",$L54))),1, IF(ISNUMBER(SEARCH("Blast",$L54)),(4+$G54+(2-$G54)*0.5)/6*2,(4+$G54)/6)) *
_xlfn.IFS(AO$24-$I54 &lt;=1, 5/6, AO$24-$I54 &lt;=5, (7-(AO$24-$I54))/6, AND(AO$24-$I54 =6,NOT(_xlfn.IFNA(ISNUMBER(SEARCH("Rending",$L54)),FALSE))), (7-(AO$24-$I54))/6, AND(AO$24-$I54 &gt;=7,NOT(_xlfn.IFNA(ISNUMBER(SEARCH("Rending",$L54)),FALSE))), 0, AO$24-$I54 =7, (7-(AO$24-1-$I54))/6, AO$24-$I54 =8, (7-(AO$24-2-$I54))/6*2/3, AO$24-$I54 =9, (7-(AO$24-3-$I54))/6*1/3, TRUE, 0) *
IF(ISNUMBER(SEARCH("Ordinance",$L54)),7/6,1) *
IF(OR(ISNUMBER(SEARCH("Melee",$L54)),ISNUMBER(SEARCH("Bypass",$L54))),1.5,1)</f>
        <v>0.5</v>
      </c>
      <c r="AP54" s="17" cm="1">
        <f t="array" ref="AP54">$H54 *
IF(ISNUMBER(SEARCH("Rapid",$L54)),7/6,1) *
IF(OR(ISNUMBER(SEARCH("Beam",$L54)),ISNUMBER(SEARCH("Firestorm",$L54))),1, IF(ISNUMBER(SEARCH("Blast",$L54)),(4+$G54+(2-$G54)*0.5)/6*2,(4+$G54)/6)) *
_xlfn.IFS(AP$24-$I54 &lt;=1, 5/6, AP$24-$I54 &lt;=5, (7-(AP$24-$I54))/6, AND(AP$24-$I54 =6,NOT(_xlfn.IFNA(ISNUMBER(SEARCH("Rending",$L54)),FALSE))), (7-(AP$24-$I54))/6, AND(AP$24-$I54 &gt;=7,NOT(_xlfn.IFNA(ISNUMBER(SEARCH("Rending",$L54)),FALSE))), 0, AP$24-$I54 =7, (7-(AP$24-1-$I54))/6, AP$24-$I54 =8, (7-(AP$24-2-$I54))/6*2/3, AP$24-$I54 =9, (7-(AP$24-3-$I54))/6*1/3, TRUE, 0) *
IF(ISNUMBER(SEARCH("Ordinance",$L54)),7/6,1) *
IF(OR(ISNUMBER(SEARCH("Melee",$L54)),ISNUMBER(SEARCH("Bypass",$L54))),1.5,1)</f>
        <v>0.33333333333333331</v>
      </c>
      <c r="AQ54" s="17" cm="1">
        <f t="array" ref="AQ54">$H54 *
IF(ISNUMBER(SEARCH("Rapid",$L54)),7/6,1) *
IF(OR(ISNUMBER(SEARCH("Beam",$L54)),ISNUMBER(SEARCH("Firestorm",$L54))),1, IF(ISNUMBER(SEARCH("Blast",$L54)),(4+$G54+(2-$G54)*0.5)/6*2,(4+$G54)/6)) *
_xlfn.IFS(AQ$24-$I54 &lt;=1, 5/6, AQ$24-$I54 &lt;=5, (7-(AQ$24-$I54))/6, AND(AQ$24-$I54 =6,NOT(_xlfn.IFNA(ISNUMBER(SEARCH("Rending",$L54)),FALSE))), (7-(AQ$24-$I54))/6, AND(AQ$24-$I54 &gt;=7,NOT(_xlfn.IFNA(ISNUMBER(SEARCH("Rending",$L54)),FALSE))), 0, AQ$24-$I54 =7, (7-(AQ$24-1-$I54))/6, AQ$24-$I54 =8, (7-(AQ$24-2-$I54))/6*2/3, AQ$24-$I54 =9, (7-(AQ$24-3-$I54))/6*1/3, TRUE, 0) *
IF(ISNUMBER(SEARCH("Ordinance",$L54)),7/6,1) *
IF(OR(ISNUMBER(SEARCH("Melee",$L54)),ISNUMBER(SEARCH("Bypass",$L54))),1.5,1)</f>
        <v>0.16666666666666666</v>
      </c>
      <c r="AS54" s="16">
        <f>IF($E54=1,AG54*3,IF($E54=2,2*AG54,1.1*AG54))</f>
        <v>0</v>
      </c>
      <c r="AT54" s="16">
        <f>IF($E54=1,AH54*3,IF($E54=2,2*AH54,1.1*AH54))</f>
        <v>0</v>
      </c>
      <c r="AU54" s="16">
        <f t="shared" si="9"/>
        <v>0.875</v>
      </c>
      <c r="AV54" s="2">
        <v>10</v>
      </c>
    </row>
    <row r="55" spans="1:48" x14ac:dyDescent="0.3">
      <c r="A55" t="s">
        <v>208</v>
      </c>
      <c r="B55" s="3">
        <v>12</v>
      </c>
      <c r="C55" s="3">
        <v>24</v>
      </c>
      <c r="D55" s="3">
        <v>1</v>
      </c>
      <c r="E55" s="3">
        <v>1</v>
      </c>
      <c r="F55" s="10"/>
      <c r="G55" s="10"/>
      <c r="H55" s="3">
        <v>1</v>
      </c>
      <c r="I55" s="3">
        <v>11</v>
      </c>
      <c r="J55" s="3" t="s">
        <v>216</v>
      </c>
      <c r="K55" s="3">
        <v>35</v>
      </c>
      <c r="L55" s="3" t="s">
        <v>297</v>
      </c>
      <c r="M55" s="3" t="s">
        <v>199</v>
      </c>
      <c r="N55" s="3">
        <v>10</v>
      </c>
      <c r="O55" s="3">
        <v>10</v>
      </c>
      <c r="P55" s="3">
        <v>14</v>
      </c>
      <c r="Q55" s="3" t="s">
        <v>200</v>
      </c>
      <c r="R55" s="3">
        <v>7</v>
      </c>
      <c r="S55" s="3">
        <v>9</v>
      </c>
      <c r="T55" s="3">
        <v>4</v>
      </c>
      <c r="V55" s="16">
        <f t="shared" si="1"/>
        <v>0.55555555555555558</v>
      </c>
      <c r="W55" s="16">
        <f t="shared" si="2"/>
        <v>0.83333333333333337</v>
      </c>
      <c r="X55" s="17" cm="1">
        <f t="array" ref="X55">$H55 *
IF(ISNUMBER(SEARCH("Rapid",$L55)),7/6,1) *
IF(OR(ISNUMBER(SEARCH("Beam",$L55)),ISNUMBER(SEARCH("Firestorm",$L55))),1, IF(ISNUMBER(SEARCH("Blast",$L55)),(4+$F55+(2-$F55)*0.5)/6*2,(4+$F55)/6)) *
IF(ISNUMBER(SEARCH("Fusion",$L55)), _xlfn.IFS(X$24-$I55 &lt;=1, 9/10, X$24-$I55 &lt;=10,(11-(X$24-$I55))/10, X$24-$I55 &gt;=11, 0),
_xlfn.IFS(X$24-$I55 &lt;=1, 5/6, X$24-$I55 &lt;=5, (7-(X$24-$I55))/6, AND(X$24-$I55 =6,NOT(_xlfn.IFNA(ISNUMBER(SEARCH("Rending",$L55)),FALSE))), (7-(X$24-$I55))/6, AND(X$24-$I55 &gt;=7,NOT(_xlfn.IFNA(ISNUMBER(SEARCH("Rending",$L55)),FALSE))), 0, X$24-$I55 =7, (7-(X$24-1-$I55))/6, X$24-$I55 =8, (7-(X$24-2-$I55))/6*2/3, X$24-$I55 =9, (7-(X$24-3-$I55))/6*1/3, TRUE, 0)) *
IF(ISNUMBER(SEARCH("Ordinance",$L55)),7/6,1) *
IF(OR(ISNUMBER(SEARCH("Melee",$L55)),ISNUMBER(SEARCH("Bypass",$L55))),1.5,1)</f>
        <v>1.5</v>
      </c>
      <c r="Y55" s="17" cm="1">
        <f t="array" ref="Y55">$H55 *
IF(ISNUMBER(SEARCH("Rapid",$L55)),7/6,1) *
IF(OR(ISNUMBER(SEARCH("Beam",$L55)),ISNUMBER(SEARCH("Firestorm",$L55))),1, IF(ISNUMBER(SEARCH("Blast",$L55)),(4+$F55+(2-$F55)*0.5)/6*2,(4+$F55)/6)) *
IF(ISNUMBER(SEARCH("Fusion",$L55)), _xlfn.IFS(Y$24-$I55 &lt;=1, 9/10, Y$24-$I55 &lt;=10,(11-(Y$24-$I55))/10, Y$24-$I55 &gt;=11, 0),
_xlfn.IFS(Y$24-$I55 &lt;=1, 5/6, Y$24-$I55 &lt;=5, (7-(Y$24-$I55))/6, AND(Y$24-$I55 =6,NOT(_xlfn.IFNA(ISNUMBER(SEARCH("Rending",$L55)),FALSE))), (7-(Y$24-$I55))/6, AND(Y$24-$I55 &gt;=7,NOT(_xlfn.IFNA(ISNUMBER(SEARCH("Rending",$L55)),FALSE))), 0, Y$24-$I55 =7, (7-(Y$24-1-$I55))/6, Y$24-$I55 =8, (7-(Y$24-2-$I55))/6*2/3, Y$24-$I55 =9, (7-(Y$24-3-$I55))/6*1/3, TRUE, 0)) *
IF(ISNUMBER(SEARCH("Ordinance",$L55)),7/6,1) *
IF(OR(ISNUMBER(SEARCH("Melee",$L55)),ISNUMBER(SEARCH("Bypass",$L55))),1.5,1)</f>
        <v>1.5</v>
      </c>
      <c r="Z55" s="17" cm="1">
        <f t="array" ref="Z55">$H55 *
IF(ISNUMBER(SEARCH("Rapid",$L55)),7/6,1) *
IF(OR(ISNUMBER(SEARCH("Beam",$L55)),ISNUMBER(SEARCH("Firestorm",$L55))),1, IF(ISNUMBER(SEARCH("Blast",$L55)),(4+$F55+(2-$F55)*0.5)/6*2,(4+$F55)/6)) *
IF(ISNUMBER(SEARCH("Fusion",$L55)), _xlfn.IFS(Z$24-$I55 &lt;=1, 9/10, Z$24-$I55 &lt;=10,(11-(Z$24-$I55))/10, Z$24-$I55 &gt;=11, 0),
_xlfn.IFS(Z$24-$I55 &lt;=1, 5/6, Z$24-$I55 &lt;=5, (7-(Z$24-$I55))/6, AND(Z$24-$I55 =6,NOT(_xlfn.IFNA(ISNUMBER(SEARCH("Rending",$L55)),FALSE))), (7-(Z$24-$I55))/6, AND(Z$24-$I55 &gt;=7,NOT(_xlfn.IFNA(ISNUMBER(SEARCH("Rending",$L55)),FALSE))), 0, Z$24-$I55 =7, (7-(Z$24-1-$I55))/6, Z$24-$I55 =8, (7-(Z$24-2-$I55))/6*2/3, Z$24-$I55 =9, (7-(Z$24-3-$I55))/6*1/3, TRUE, 0)) *
IF(ISNUMBER(SEARCH("Ordinance",$L55)),7/6,1) *
IF(OR(ISNUMBER(SEARCH("Melee",$L55)),ISNUMBER(SEARCH("Bypass",$L55))),1.5,1)</f>
        <v>1.5</v>
      </c>
      <c r="AA55" s="17" cm="1">
        <f t="array" ref="AA55">$H55 *
IF(ISNUMBER(SEARCH("Rapid",$L55)),7/6,1) *
IF(OR(ISNUMBER(SEARCH("Beam",$L55)),ISNUMBER(SEARCH("Firestorm",$L55))),1, IF(ISNUMBER(SEARCH("Blast",$L55)),(4+$F55+(2-$F55)*0.5)/6*2,(4+$F55)/6)) *
IF(ISNUMBER(SEARCH("Fusion",$L55)), _xlfn.IFS(AA$24-$I55 &lt;=1, 9/10, AA$24-$I55 &lt;=10,(11-(AA$24-$I55))/10, AA$24-$I55 &gt;=11, 0),
_xlfn.IFS(AA$24-$I55 &lt;=1, 5/6, AA$24-$I55 &lt;=5, (7-(AA$24-$I55))/6, AND(AA$24-$I55 =6,NOT(_xlfn.IFNA(ISNUMBER(SEARCH("Rending",$L55)),FALSE))), (7-(AA$24-$I55))/6, AND(AA$24-$I55 &gt;=7,NOT(_xlfn.IFNA(ISNUMBER(SEARCH("Rending",$L55)),FALSE))), 0, AA$24-$I55 =7, (7-(AA$24-1-$I55))/6, AA$24-$I55 =8, (7-(AA$24-2-$I55))/6*2/3, AA$24-$I55 =9, (7-(AA$24-3-$I55))/6*1/3, TRUE, 0)) *
IF(ISNUMBER(SEARCH("Ordinance",$L55)),7/6,1) *
IF(OR(ISNUMBER(SEARCH("Melee",$L55)),ISNUMBER(SEARCH("Bypass",$L55))),1.5,1)</f>
        <v>1.5</v>
      </c>
      <c r="AB55" s="17" cm="1">
        <f t="array" ref="AB55">$H55 *
IF(ISNUMBER(SEARCH("Rapid",$L55)),7/6,1) *
IF(OR(ISNUMBER(SEARCH("Beam",$L55)),ISNUMBER(SEARCH("Firestorm",$L55))),1, IF(ISNUMBER(SEARCH("Blast",$L55)),(4+$F55+(2-$F55)*0.5)/6*2,(4+$F55)/6)) *
IF(ISNUMBER(SEARCH("Fusion",$L55)), _xlfn.IFS(AB$24-$I55 &lt;=1, 9/10, AB$24-$I55 &lt;=10,(11-(AB$24-$I55))/10, AB$24-$I55 &gt;=11, 0),
_xlfn.IFS(AB$24-$I55 &lt;=1, 5/6, AB$24-$I55 &lt;=5, (7-(AB$24-$I55))/6, AND(AB$24-$I55 =6,NOT(_xlfn.IFNA(ISNUMBER(SEARCH("Rending",$L55)),FALSE))), (7-(AB$24-$I55))/6, AND(AB$24-$I55 &gt;=7,NOT(_xlfn.IFNA(ISNUMBER(SEARCH("Rending",$L55)),FALSE))), 0, AB$24-$I55 =7, (7-(AB$24-1-$I55))/6, AB$24-$I55 =8, (7-(AB$24-2-$I55))/6*2/3, AB$24-$I55 =9, (7-(AB$24-3-$I55))/6*1/3, TRUE, 0)) *
IF(ISNUMBER(SEARCH("Ordinance",$L55)),7/6,1) *
IF(OR(ISNUMBER(SEARCH("Melee",$L55)),ISNUMBER(SEARCH("Bypass",$L55))),1.5,1)</f>
        <v>1.5</v>
      </c>
      <c r="AC55" s="17" cm="1">
        <f t="array" ref="AC55">$H55 *
IF(ISNUMBER(SEARCH("Rapid",$L55)),7/6,1) *
IF(OR(ISNUMBER(SEARCH("Beam",$L55)),ISNUMBER(SEARCH("Firestorm",$L55))),1, IF(ISNUMBER(SEARCH("Blast",$L55)),(4+$F55+(2-$F55)*0.5)/6*2,(4+$F55)/6)) *
IF(ISNUMBER(SEARCH("Fusion",$L55)), _xlfn.IFS(AC$24-$I55 &lt;=1, 9/10, AC$24-$I55 &lt;=10,(11-(AC$24-$I55))/10, AC$24-$I55 &gt;=11, 0),
_xlfn.IFS(AC$24-$I55 &lt;=1, 5/6, AC$24-$I55 &lt;=5, (7-(AC$24-$I55))/6, AND(AC$24-$I55 =6,NOT(_xlfn.IFNA(ISNUMBER(SEARCH("Rending",$L55)),FALSE))), (7-(AC$24-$I55))/6, AND(AC$24-$I55 &gt;=7,NOT(_xlfn.IFNA(ISNUMBER(SEARCH("Rending",$L55)),FALSE))), 0, AC$24-$I55 =7, (7-(AC$24-1-$I55))/6, AC$24-$I55 =8, (7-(AC$24-2-$I55))/6*2/3, AC$24-$I55 =9, (7-(AC$24-3-$I55))/6*1/3, TRUE, 0)) *
IF(ISNUMBER(SEARCH("Ordinance",$L55)),7/6,1) *
IF(OR(ISNUMBER(SEARCH("Melee",$L55)),ISNUMBER(SEARCH("Bypass",$L55))),1.5,1)</f>
        <v>1.3333333333333335</v>
      </c>
      <c r="AD55" s="17" cm="1">
        <f t="array" ref="AD55">$H55 *
IF(ISNUMBER(SEARCH("Rapid",$L55)),7/6,1) *
IF(OR(ISNUMBER(SEARCH("Beam",$L55)),ISNUMBER(SEARCH("Firestorm",$L55))),1, IF(ISNUMBER(SEARCH("Blast",$L55)),(4+$F55+(2-$F55)*0.5)/6*2,(4+$F55)/6)) *
IF(ISNUMBER(SEARCH("Fusion",$L55)), _xlfn.IFS(AD$24-$I55 &lt;=1, 9/10, AD$24-$I55 &lt;=10,(11-(AD$24-$I55))/10, AD$24-$I55 &gt;=11, 0),
_xlfn.IFS(AD$24-$I55 &lt;=1, 5/6, AD$24-$I55 &lt;=5, (7-(AD$24-$I55))/6, AND(AD$24-$I55 =6,NOT(_xlfn.IFNA(ISNUMBER(SEARCH("Rending",$L55)),FALSE))), (7-(AD$24-$I55))/6, AND(AD$24-$I55 &gt;=7,NOT(_xlfn.IFNA(ISNUMBER(SEARCH("Rending",$L55)),FALSE))), 0, AD$24-$I55 =7, (7-(AD$24-1-$I55))/6, AD$24-$I55 =8, (7-(AD$24-2-$I55))/6*2/3, AD$24-$I55 =9, (7-(AD$24-3-$I55))/6*1/3, TRUE, 0)) *
IF(ISNUMBER(SEARCH("Ordinance",$L55)),7/6,1) *
IF(OR(ISNUMBER(SEARCH("Melee",$L55)),ISNUMBER(SEARCH("Bypass",$L55))),1.5,1)</f>
        <v>1.1666666666666667</v>
      </c>
      <c r="AE55" s="17" cm="1">
        <f t="array" ref="AE55">$H55 *
IF(ISNUMBER(SEARCH("Rapid",$L55)),7/6,1) *
IF(OR(ISNUMBER(SEARCH("Beam",$L55)),ISNUMBER(SEARCH("Firestorm",$L55))),1, IF(ISNUMBER(SEARCH("Blast",$L55)),(4+$F55+(2-$F55)*0.5)/6*2,(4+$F55)/6)) *
IF(ISNUMBER(SEARCH("Fusion",$L55)), _xlfn.IFS(AE$24-$I55 &lt;=1, 9/10, AE$24-$I55 &lt;=10,(11-(AE$24-$I55))/10, AE$24-$I55 &gt;=11, 0),
_xlfn.IFS(AE$24-$I55 &lt;=1, 5/6, AE$24-$I55 &lt;=5, (7-(AE$24-$I55))/6, AND(AE$24-$I55 =6,NOT(_xlfn.IFNA(ISNUMBER(SEARCH("Rending",$L55)),FALSE))), (7-(AE$24-$I55))/6, AND(AE$24-$I55 &gt;=7,NOT(_xlfn.IFNA(ISNUMBER(SEARCH("Rending",$L55)),FALSE))), 0, AE$24-$I55 =7, (7-(AE$24-1-$I55))/6, AE$24-$I55 =8, (7-(AE$24-2-$I55))/6*2/3, AE$24-$I55 =9, (7-(AE$24-3-$I55))/6*1/3, TRUE, 0)) *
IF(ISNUMBER(SEARCH("Ordinance",$L55)),7/6,1) *
IF(OR(ISNUMBER(SEARCH("Melee",$L55)),ISNUMBER(SEARCH("Bypass",$L55))),1.5,1)</f>
        <v>1</v>
      </c>
      <c r="AF55" s="17" cm="1">
        <f t="array" ref="AF55">$H55 *
IF(ISNUMBER(SEARCH("Rapid",$L55)),7/6,1) *
IF(OR(ISNUMBER(SEARCH("Beam",$L55)),ISNUMBER(SEARCH("Firestorm",$L55))),1, IF(ISNUMBER(SEARCH("Blast",$L55)),(4+$F55+(2-$F55)*0.5)/6*2,(4+$F55)/6)) *
IF(ISNUMBER(SEARCH("Fusion",$L55)), _xlfn.IFS(AF$24-$I55 &lt;=1, 9/10, AF$24-$I55 &lt;=10,(11-(AF$24-$I55))/10, AF$24-$I55 &gt;=11, 0),
_xlfn.IFS(AF$24-$I55 &lt;=1, 5/6, AF$24-$I55 &lt;=5, (7-(AF$24-$I55))/6, AND(AF$24-$I55 =6,NOT(_xlfn.IFNA(ISNUMBER(SEARCH("Rending",$L55)),FALSE))), (7-(AF$24-$I55))/6, AND(AF$24-$I55 &gt;=7,NOT(_xlfn.IFNA(ISNUMBER(SEARCH("Rending",$L55)),FALSE))), 0, AF$24-$I55 =7, (7-(AF$24-1-$I55))/6, AF$24-$I55 =8, (7-(AF$24-2-$I55))/6*2/3, AF$24-$I55 =9, (7-(AF$24-3-$I55))/6*1/3, TRUE, 0)) *
IF(ISNUMBER(SEARCH("Ordinance",$L55)),7/6,1) *
IF(OR(ISNUMBER(SEARCH("Melee",$L55)),ISNUMBER(SEARCH("Bypass",$L55))),1.5,1)</f>
        <v>0.83333333333333337</v>
      </c>
      <c r="AG55" s="16">
        <f t="shared" si="3"/>
        <v>0.55555555555555558</v>
      </c>
      <c r="AH55" s="16">
        <f t="shared" si="4"/>
        <v>0.83333333333333337</v>
      </c>
      <c r="AI55" s="17" cm="1">
        <f t="array" ref="AI55">$H55 *
IF(ISNUMBER(SEARCH("Rapid",$L55)),7/6,1) *
IF(OR(ISNUMBER(SEARCH("Beam",$L55)),ISNUMBER(SEARCH("Firestorm",$L55))),1, IF(ISNUMBER(SEARCH("Blast",$L55)),(4+$G55+(2-$G55)*0.5)/6*2,(4+$G55)/6)) *
_xlfn.IFS(AI$24-$I55 &lt;=1, 5/6, AI$24-$I55 &lt;=5, (7-(AI$24-$I55))/6, AND(AI$24-$I55 =6,NOT(_xlfn.IFNA(ISNUMBER(SEARCH("Rending",$L55)),FALSE))), (7-(AI$24-$I55))/6, AND(AI$24-$I55 &gt;=7,NOT(_xlfn.IFNA(ISNUMBER(SEARCH("Rending",$L55)),FALSE))), 0, AI$24-$I55 =7, (7-(AI$24-1-$I55))/6, AI$24-$I55 =8, (7-(AI$24-2-$I55))/6*2/3, AI$24-$I55 =9, (7-(AI$24-3-$I55))/6*1/3, TRUE, 0) *
IF(ISNUMBER(SEARCH("Ordinance",$L55)),7/6,1) *
IF(OR(ISNUMBER(SEARCH("Melee",$L55)),ISNUMBER(SEARCH("Bypass",$L55))),1.5,1)</f>
        <v>1.3888888888888891</v>
      </c>
      <c r="AJ55" s="17" cm="1">
        <f t="array" ref="AJ55">$H55 *
IF(ISNUMBER(SEARCH("Rapid",$L55)),7/6,1) *
IF(OR(ISNUMBER(SEARCH("Beam",$L55)),ISNUMBER(SEARCH("Firestorm",$L55))),1, IF(ISNUMBER(SEARCH("Blast",$L55)),(4+$G55+(2-$G55)*0.5)/6*2,(4+$G55)/6)) *
_xlfn.IFS(AJ$24-$I55 &lt;=1, 5/6, AJ$24-$I55 &lt;=5, (7-(AJ$24-$I55))/6, AND(AJ$24-$I55 =6,NOT(_xlfn.IFNA(ISNUMBER(SEARCH("Rending",$L55)),FALSE))), (7-(AJ$24-$I55))/6, AND(AJ$24-$I55 &gt;=7,NOT(_xlfn.IFNA(ISNUMBER(SEARCH("Rending",$L55)),FALSE))), 0, AJ$24-$I55 =7, (7-(AJ$24-1-$I55))/6, AJ$24-$I55 =8, (7-(AJ$24-2-$I55))/6*2/3, AJ$24-$I55 =9, (7-(AJ$24-3-$I55))/6*1/3, TRUE, 0) *
IF(ISNUMBER(SEARCH("Ordinance",$L55)),7/6,1) *
IF(OR(ISNUMBER(SEARCH("Melee",$L55)),ISNUMBER(SEARCH("Bypass",$L55))),1.5,1)</f>
        <v>1.3888888888888891</v>
      </c>
      <c r="AK55" s="17" cm="1">
        <f t="array" ref="AK55">$H55 *
IF(ISNUMBER(SEARCH("Rapid",$L55)),7/6,1) *
IF(OR(ISNUMBER(SEARCH("Beam",$L55)),ISNUMBER(SEARCH("Firestorm",$L55))),1, IF(ISNUMBER(SEARCH("Blast",$L55)),(4+$G55+(2-$G55)*0.5)/6*2,(4+$G55)/6)) *
_xlfn.IFS(AK$24-$I55 &lt;=1, 5/6, AK$24-$I55 &lt;=5, (7-(AK$24-$I55))/6, AND(AK$24-$I55 =6,NOT(_xlfn.IFNA(ISNUMBER(SEARCH("Rending",$L55)),FALSE))), (7-(AK$24-$I55))/6, AND(AK$24-$I55 &gt;=7,NOT(_xlfn.IFNA(ISNUMBER(SEARCH("Rending",$L55)),FALSE))), 0, AK$24-$I55 =7, (7-(AK$24-1-$I55))/6, AK$24-$I55 =8, (7-(AK$24-2-$I55))/6*2/3, AK$24-$I55 =9, (7-(AK$24-3-$I55))/6*1/3, TRUE, 0) *
IF(ISNUMBER(SEARCH("Ordinance",$L55)),7/6,1) *
IF(OR(ISNUMBER(SEARCH("Melee",$L55)),ISNUMBER(SEARCH("Bypass",$L55))),1.5,1)</f>
        <v>1.3888888888888891</v>
      </c>
      <c r="AL55" s="17" cm="1">
        <f t="array" ref="AL55">$H55 *
IF(ISNUMBER(SEARCH("Rapid",$L55)),7/6,1) *
IF(OR(ISNUMBER(SEARCH("Beam",$L55)),ISNUMBER(SEARCH("Firestorm",$L55))),1, IF(ISNUMBER(SEARCH("Blast",$L55)),(4+$G55+(2-$G55)*0.5)/6*2,(4+$G55)/6)) *
_xlfn.IFS(AL$24-$I55 &lt;=1, 5/6, AL$24-$I55 &lt;=5, (7-(AL$24-$I55))/6, AND(AL$24-$I55 =6,NOT(_xlfn.IFNA(ISNUMBER(SEARCH("Rending",$L55)),FALSE))), (7-(AL$24-$I55))/6, AND(AL$24-$I55 &gt;=7,NOT(_xlfn.IFNA(ISNUMBER(SEARCH("Rending",$L55)),FALSE))), 0, AL$24-$I55 =7, (7-(AL$24-1-$I55))/6, AL$24-$I55 =8, (7-(AL$24-2-$I55))/6*2/3, AL$24-$I55 =9, (7-(AL$24-3-$I55))/6*1/3, TRUE, 0) *
IF(ISNUMBER(SEARCH("Ordinance",$L55)),7/6,1) *
IF(OR(ISNUMBER(SEARCH("Melee",$L55)),ISNUMBER(SEARCH("Bypass",$L55))),1.5,1)</f>
        <v>1.3888888888888891</v>
      </c>
      <c r="AM55" s="17" cm="1">
        <f t="array" ref="AM55">$H55 *
IF(ISNUMBER(SEARCH("Rapid",$L55)),7/6,1) *
IF(OR(ISNUMBER(SEARCH("Beam",$L55)),ISNUMBER(SEARCH("Firestorm",$L55))),1, IF(ISNUMBER(SEARCH("Blast",$L55)),(4+$G55+(2-$G55)*0.5)/6*2,(4+$G55)/6)) *
_xlfn.IFS(AM$24-$I55 &lt;=1, 5/6, AM$24-$I55 &lt;=5, (7-(AM$24-$I55))/6, AND(AM$24-$I55 =6,NOT(_xlfn.IFNA(ISNUMBER(SEARCH("Rending",$L55)),FALSE))), (7-(AM$24-$I55))/6, AND(AM$24-$I55 &gt;=7,NOT(_xlfn.IFNA(ISNUMBER(SEARCH("Rending",$L55)),FALSE))), 0, AM$24-$I55 =7, (7-(AM$24-1-$I55))/6, AM$24-$I55 =8, (7-(AM$24-2-$I55))/6*2/3, AM$24-$I55 =9, (7-(AM$24-3-$I55))/6*1/3, TRUE, 0) *
IF(ISNUMBER(SEARCH("Ordinance",$L55)),7/6,1) *
IF(OR(ISNUMBER(SEARCH("Melee",$L55)),ISNUMBER(SEARCH("Bypass",$L55))),1.5,1)</f>
        <v>1.3888888888888891</v>
      </c>
      <c r="AN55" s="17" cm="1">
        <f t="array" ref="AN55">$H55 *
IF(ISNUMBER(SEARCH("Rapid",$L55)),7/6,1) *
IF(OR(ISNUMBER(SEARCH("Beam",$L55)),ISNUMBER(SEARCH("Firestorm",$L55))),1, IF(ISNUMBER(SEARCH("Blast",$L55)),(4+$G55+(2-$G55)*0.5)/6*2,(4+$G55)/6)) *
_xlfn.IFS(AN$24-$I55 &lt;=1, 5/6, AN$24-$I55 &lt;=5, (7-(AN$24-$I55))/6, AND(AN$24-$I55 =6,NOT(_xlfn.IFNA(ISNUMBER(SEARCH("Rending",$L55)),FALSE))), (7-(AN$24-$I55))/6, AND(AN$24-$I55 &gt;=7,NOT(_xlfn.IFNA(ISNUMBER(SEARCH("Rending",$L55)),FALSE))), 0, AN$24-$I55 =7, (7-(AN$24-1-$I55))/6, AN$24-$I55 =8, (7-(AN$24-2-$I55))/6*2/3, AN$24-$I55 =9, (7-(AN$24-3-$I55))/6*1/3, TRUE, 0) *
IF(ISNUMBER(SEARCH("Ordinance",$L55)),7/6,1) *
IF(OR(ISNUMBER(SEARCH("Melee",$L55)),ISNUMBER(SEARCH("Bypass",$L55))),1.5,1)</f>
        <v>1.1111111111111112</v>
      </c>
      <c r="AO55" s="17" cm="1">
        <f t="array" ref="AO55">$H55 *
IF(ISNUMBER(SEARCH("Rapid",$L55)),7/6,1) *
IF(OR(ISNUMBER(SEARCH("Beam",$L55)),ISNUMBER(SEARCH("Firestorm",$L55))),1, IF(ISNUMBER(SEARCH("Blast",$L55)),(4+$G55+(2-$G55)*0.5)/6*2,(4+$G55)/6)) *
_xlfn.IFS(AO$24-$I55 &lt;=1, 5/6, AO$24-$I55 &lt;=5, (7-(AO$24-$I55))/6, AND(AO$24-$I55 =6,NOT(_xlfn.IFNA(ISNUMBER(SEARCH("Rending",$L55)),FALSE))), (7-(AO$24-$I55))/6, AND(AO$24-$I55 &gt;=7,NOT(_xlfn.IFNA(ISNUMBER(SEARCH("Rending",$L55)),FALSE))), 0, AO$24-$I55 =7, (7-(AO$24-1-$I55))/6, AO$24-$I55 =8, (7-(AO$24-2-$I55))/6*2/3, AO$24-$I55 =9, (7-(AO$24-3-$I55))/6*1/3, TRUE, 0) *
IF(ISNUMBER(SEARCH("Ordinance",$L55)),7/6,1) *
IF(OR(ISNUMBER(SEARCH("Melee",$L55)),ISNUMBER(SEARCH("Bypass",$L55))),1.5,1)</f>
        <v>0.83333333333333337</v>
      </c>
      <c r="AP55" s="17" cm="1">
        <f t="array" ref="AP55">$H55 *
IF(ISNUMBER(SEARCH("Rapid",$L55)),7/6,1) *
IF(OR(ISNUMBER(SEARCH("Beam",$L55)),ISNUMBER(SEARCH("Firestorm",$L55))),1, IF(ISNUMBER(SEARCH("Blast",$L55)),(4+$G55+(2-$G55)*0.5)/6*2,(4+$G55)/6)) *
_xlfn.IFS(AP$24-$I55 &lt;=1, 5/6, AP$24-$I55 &lt;=5, (7-(AP$24-$I55))/6, AND(AP$24-$I55 =6,NOT(_xlfn.IFNA(ISNUMBER(SEARCH("Rending",$L55)),FALSE))), (7-(AP$24-$I55))/6, AND(AP$24-$I55 &gt;=7,NOT(_xlfn.IFNA(ISNUMBER(SEARCH("Rending",$L55)),FALSE))), 0, AP$24-$I55 =7, (7-(AP$24-1-$I55))/6, AP$24-$I55 =8, (7-(AP$24-2-$I55))/6*2/3, AP$24-$I55 =9, (7-(AP$24-3-$I55))/6*1/3, TRUE, 0) *
IF(ISNUMBER(SEARCH("Ordinance",$L55)),7/6,1) *
IF(OR(ISNUMBER(SEARCH("Melee",$L55)),ISNUMBER(SEARCH("Bypass",$L55))),1.5,1)</f>
        <v>0.55555555555555558</v>
      </c>
      <c r="AQ55" s="17" cm="1">
        <f t="array" ref="AQ55">$H55 *
IF(ISNUMBER(SEARCH("Rapid",$L55)),7/6,1) *
IF(OR(ISNUMBER(SEARCH("Beam",$L55)),ISNUMBER(SEARCH("Firestorm",$L55))),1, IF(ISNUMBER(SEARCH("Blast",$L55)),(4+$G55+(2-$G55)*0.5)/6*2,(4+$G55)/6)) *
_xlfn.IFS(AQ$24-$I55 &lt;=1, 5/6, AQ$24-$I55 &lt;=5, (7-(AQ$24-$I55))/6, AND(AQ$24-$I55 =6,NOT(_xlfn.IFNA(ISNUMBER(SEARCH("Rending",$L55)),FALSE))), (7-(AQ$24-$I55))/6, AND(AQ$24-$I55 &gt;=7,NOT(_xlfn.IFNA(ISNUMBER(SEARCH("Rending",$L55)),FALSE))), 0, AQ$24-$I55 =7, (7-(AQ$24-1-$I55))/6, AQ$24-$I55 =8, (7-(AQ$24-2-$I55))/6*2/3, AQ$24-$I55 =9, (7-(AQ$24-3-$I55))/6*1/3, TRUE, 0) *
IF(ISNUMBER(SEARCH("Ordinance",$L55)),7/6,1) *
IF(OR(ISNUMBER(SEARCH("Melee",$L55)),ISNUMBER(SEARCH("Bypass",$L55))),1.5,1)</f>
        <v>0.27777777777777779</v>
      </c>
      <c r="AS55" s="16">
        <f t="shared" ref="AS55:AT57" si="10">IF($E55=1,AG55*3,IF($E55=2,2*AG55,1.1*AG55))/3</f>
        <v>0.55555555555555558</v>
      </c>
      <c r="AT55" s="16">
        <f t="shared" si="10"/>
        <v>0.83333333333333337</v>
      </c>
      <c r="AU55" s="16">
        <f t="shared" si="9"/>
        <v>0.74351851851851836</v>
      </c>
      <c r="AV55" s="2">
        <v>13</v>
      </c>
    </row>
    <row r="56" spans="1:48" x14ac:dyDescent="0.3">
      <c r="A56" t="s">
        <v>298</v>
      </c>
      <c r="B56" s="3">
        <v>15</v>
      </c>
      <c r="C56" s="3">
        <v>24</v>
      </c>
      <c r="D56" s="3">
        <v>1</v>
      </c>
      <c r="E56" s="3">
        <v>1</v>
      </c>
      <c r="F56" s="10"/>
      <c r="G56" s="10"/>
      <c r="H56" s="3">
        <v>1</v>
      </c>
      <c r="I56" s="3">
        <v>11</v>
      </c>
      <c r="J56" s="3" t="s">
        <v>216</v>
      </c>
      <c r="K56" s="3">
        <v>55</v>
      </c>
      <c r="L56" s="3" t="s">
        <v>297</v>
      </c>
      <c r="M56" s="3" t="s">
        <v>199</v>
      </c>
      <c r="N56" s="3">
        <v>10</v>
      </c>
      <c r="O56" s="3">
        <v>10</v>
      </c>
      <c r="P56" s="3">
        <v>14</v>
      </c>
      <c r="Q56" s="3" t="s">
        <v>200</v>
      </c>
      <c r="R56" s="3">
        <v>7</v>
      </c>
      <c r="S56" s="3">
        <v>9</v>
      </c>
      <c r="T56" s="3">
        <v>4</v>
      </c>
      <c r="U56" t="s">
        <v>299</v>
      </c>
      <c r="V56" s="16">
        <f t="shared" si="1"/>
        <v>0.55555555555555558</v>
      </c>
      <c r="W56" s="16">
        <f t="shared" si="2"/>
        <v>0.83333333333333337</v>
      </c>
      <c r="X56" s="17" cm="1">
        <f t="array" ref="X56">$H56 *
IF(ISNUMBER(SEARCH("Rapid",$L56)),7/6,1) *
IF(OR(ISNUMBER(SEARCH("Beam",$L56)),ISNUMBER(SEARCH("Firestorm",$L56))),1, IF(ISNUMBER(SEARCH("Blast",$L56)),(4+$F56+(2-$F56)*0.5)/6*2,(4+$F56)/6)) *
IF(ISNUMBER(SEARCH("Fusion",$L56)), _xlfn.IFS(X$24-$I56 &lt;=1, 9/10, X$24-$I56 &lt;=10,(11-(X$24-$I56))/10, X$24-$I56 &gt;=11, 0),
_xlfn.IFS(X$24-$I56 &lt;=1, 5/6, X$24-$I56 &lt;=5, (7-(X$24-$I56))/6, AND(X$24-$I56 =6,NOT(_xlfn.IFNA(ISNUMBER(SEARCH("Rending",$L56)),FALSE))), (7-(X$24-$I56))/6, AND(X$24-$I56 &gt;=7,NOT(_xlfn.IFNA(ISNUMBER(SEARCH("Rending",$L56)),FALSE))), 0, X$24-$I56 =7, (7-(X$24-1-$I56))/6, X$24-$I56 =8, (7-(X$24-2-$I56))/6*2/3, X$24-$I56 =9, (7-(X$24-3-$I56))/6*1/3, TRUE, 0)) *
IF(ISNUMBER(SEARCH("Ordinance",$L56)),7/6,1) *
IF(OR(ISNUMBER(SEARCH("Melee",$L56)),ISNUMBER(SEARCH("Bypass",$L56))),1.5,1)</f>
        <v>1.5</v>
      </c>
      <c r="Y56" s="17" cm="1">
        <f t="array" ref="Y56">$H56 *
IF(ISNUMBER(SEARCH("Rapid",$L56)),7/6,1) *
IF(OR(ISNUMBER(SEARCH("Beam",$L56)),ISNUMBER(SEARCH("Firestorm",$L56))),1, IF(ISNUMBER(SEARCH("Blast",$L56)),(4+$F56+(2-$F56)*0.5)/6*2,(4+$F56)/6)) *
IF(ISNUMBER(SEARCH("Fusion",$L56)), _xlfn.IFS(Y$24-$I56 &lt;=1, 9/10, Y$24-$I56 &lt;=10,(11-(Y$24-$I56))/10, Y$24-$I56 &gt;=11, 0),
_xlfn.IFS(Y$24-$I56 &lt;=1, 5/6, Y$24-$I56 &lt;=5, (7-(Y$24-$I56))/6, AND(Y$24-$I56 =6,NOT(_xlfn.IFNA(ISNUMBER(SEARCH("Rending",$L56)),FALSE))), (7-(Y$24-$I56))/6, AND(Y$24-$I56 &gt;=7,NOT(_xlfn.IFNA(ISNUMBER(SEARCH("Rending",$L56)),FALSE))), 0, Y$24-$I56 =7, (7-(Y$24-1-$I56))/6, Y$24-$I56 =8, (7-(Y$24-2-$I56))/6*2/3, Y$24-$I56 =9, (7-(Y$24-3-$I56))/6*1/3, TRUE, 0)) *
IF(ISNUMBER(SEARCH("Ordinance",$L56)),7/6,1) *
IF(OR(ISNUMBER(SEARCH("Melee",$L56)),ISNUMBER(SEARCH("Bypass",$L56))),1.5,1)</f>
        <v>1.5</v>
      </c>
      <c r="Z56" s="17" cm="1">
        <f t="array" ref="Z56">$H56 *
IF(ISNUMBER(SEARCH("Rapid",$L56)),7/6,1) *
IF(OR(ISNUMBER(SEARCH("Beam",$L56)),ISNUMBER(SEARCH("Firestorm",$L56))),1, IF(ISNUMBER(SEARCH("Blast",$L56)),(4+$F56+(2-$F56)*0.5)/6*2,(4+$F56)/6)) *
IF(ISNUMBER(SEARCH("Fusion",$L56)), _xlfn.IFS(Z$24-$I56 &lt;=1, 9/10, Z$24-$I56 &lt;=10,(11-(Z$24-$I56))/10, Z$24-$I56 &gt;=11, 0),
_xlfn.IFS(Z$24-$I56 &lt;=1, 5/6, Z$24-$I56 &lt;=5, (7-(Z$24-$I56))/6, AND(Z$24-$I56 =6,NOT(_xlfn.IFNA(ISNUMBER(SEARCH("Rending",$L56)),FALSE))), (7-(Z$24-$I56))/6, AND(Z$24-$I56 &gt;=7,NOT(_xlfn.IFNA(ISNUMBER(SEARCH("Rending",$L56)),FALSE))), 0, Z$24-$I56 =7, (7-(Z$24-1-$I56))/6, Z$24-$I56 =8, (7-(Z$24-2-$I56))/6*2/3, Z$24-$I56 =9, (7-(Z$24-3-$I56))/6*1/3, TRUE, 0)) *
IF(ISNUMBER(SEARCH("Ordinance",$L56)),7/6,1) *
IF(OR(ISNUMBER(SEARCH("Melee",$L56)),ISNUMBER(SEARCH("Bypass",$L56))),1.5,1)</f>
        <v>1.5</v>
      </c>
      <c r="AA56" s="17" cm="1">
        <f t="array" ref="AA56">$H56 *
IF(ISNUMBER(SEARCH("Rapid",$L56)),7/6,1) *
IF(OR(ISNUMBER(SEARCH("Beam",$L56)),ISNUMBER(SEARCH("Firestorm",$L56))),1, IF(ISNUMBER(SEARCH("Blast",$L56)),(4+$F56+(2-$F56)*0.5)/6*2,(4+$F56)/6)) *
IF(ISNUMBER(SEARCH("Fusion",$L56)), _xlfn.IFS(AA$24-$I56 &lt;=1, 9/10, AA$24-$I56 &lt;=10,(11-(AA$24-$I56))/10, AA$24-$I56 &gt;=11, 0),
_xlfn.IFS(AA$24-$I56 &lt;=1, 5/6, AA$24-$I56 &lt;=5, (7-(AA$24-$I56))/6, AND(AA$24-$I56 =6,NOT(_xlfn.IFNA(ISNUMBER(SEARCH("Rending",$L56)),FALSE))), (7-(AA$24-$I56))/6, AND(AA$24-$I56 &gt;=7,NOT(_xlfn.IFNA(ISNUMBER(SEARCH("Rending",$L56)),FALSE))), 0, AA$24-$I56 =7, (7-(AA$24-1-$I56))/6, AA$24-$I56 =8, (7-(AA$24-2-$I56))/6*2/3, AA$24-$I56 =9, (7-(AA$24-3-$I56))/6*1/3, TRUE, 0)) *
IF(ISNUMBER(SEARCH("Ordinance",$L56)),7/6,1) *
IF(OR(ISNUMBER(SEARCH("Melee",$L56)),ISNUMBER(SEARCH("Bypass",$L56))),1.5,1)</f>
        <v>1.5</v>
      </c>
      <c r="AB56" s="17" cm="1">
        <f t="array" ref="AB56">$H56 *
IF(ISNUMBER(SEARCH("Rapid",$L56)),7/6,1) *
IF(OR(ISNUMBER(SEARCH("Beam",$L56)),ISNUMBER(SEARCH("Firestorm",$L56))),1, IF(ISNUMBER(SEARCH("Blast",$L56)),(4+$F56+(2-$F56)*0.5)/6*2,(4+$F56)/6)) *
IF(ISNUMBER(SEARCH("Fusion",$L56)), _xlfn.IFS(AB$24-$I56 &lt;=1, 9/10, AB$24-$I56 &lt;=10,(11-(AB$24-$I56))/10, AB$24-$I56 &gt;=11, 0),
_xlfn.IFS(AB$24-$I56 &lt;=1, 5/6, AB$24-$I56 &lt;=5, (7-(AB$24-$I56))/6, AND(AB$24-$I56 =6,NOT(_xlfn.IFNA(ISNUMBER(SEARCH("Rending",$L56)),FALSE))), (7-(AB$24-$I56))/6, AND(AB$24-$I56 &gt;=7,NOT(_xlfn.IFNA(ISNUMBER(SEARCH("Rending",$L56)),FALSE))), 0, AB$24-$I56 =7, (7-(AB$24-1-$I56))/6, AB$24-$I56 =8, (7-(AB$24-2-$I56))/6*2/3, AB$24-$I56 =9, (7-(AB$24-3-$I56))/6*1/3, TRUE, 0)) *
IF(ISNUMBER(SEARCH("Ordinance",$L56)),7/6,1) *
IF(OR(ISNUMBER(SEARCH("Melee",$L56)),ISNUMBER(SEARCH("Bypass",$L56))),1.5,1)</f>
        <v>1.5</v>
      </c>
      <c r="AC56" s="17" cm="1">
        <f t="array" ref="AC56">$H56 *
IF(ISNUMBER(SEARCH("Rapid",$L56)),7/6,1) *
IF(OR(ISNUMBER(SEARCH("Beam",$L56)),ISNUMBER(SEARCH("Firestorm",$L56))),1, IF(ISNUMBER(SEARCH("Blast",$L56)),(4+$F56+(2-$F56)*0.5)/6*2,(4+$F56)/6)) *
IF(ISNUMBER(SEARCH("Fusion",$L56)), _xlfn.IFS(AC$24-$I56 &lt;=1, 9/10, AC$24-$I56 &lt;=10,(11-(AC$24-$I56))/10, AC$24-$I56 &gt;=11, 0),
_xlfn.IFS(AC$24-$I56 &lt;=1, 5/6, AC$24-$I56 &lt;=5, (7-(AC$24-$I56))/6, AND(AC$24-$I56 =6,NOT(_xlfn.IFNA(ISNUMBER(SEARCH("Rending",$L56)),FALSE))), (7-(AC$24-$I56))/6, AND(AC$24-$I56 &gt;=7,NOT(_xlfn.IFNA(ISNUMBER(SEARCH("Rending",$L56)),FALSE))), 0, AC$24-$I56 =7, (7-(AC$24-1-$I56))/6, AC$24-$I56 =8, (7-(AC$24-2-$I56))/6*2/3, AC$24-$I56 =9, (7-(AC$24-3-$I56))/6*1/3, TRUE, 0)) *
IF(ISNUMBER(SEARCH("Ordinance",$L56)),7/6,1) *
IF(OR(ISNUMBER(SEARCH("Melee",$L56)),ISNUMBER(SEARCH("Bypass",$L56))),1.5,1)</f>
        <v>1.3333333333333335</v>
      </c>
      <c r="AD56" s="17" cm="1">
        <f t="array" ref="AD56">$H56 *
IF(ISNUMBER(SEARCH("Rapid",$L56)),7/6,1) *
IF(OR(ISNUMBER(SEARCH("Beam",$L56)),ISNUMBER(SEARCH("Firestorm",$L56))),1, IF(ISNUMBER(SEARCH("Blast",$L56)),(4+$F56+(2-$F56)*0.5)/6*2,(4+$F56)/6)) *
IF(ISNUMBER(SEARCH("Fusion",$L56)), _xlfn.IFS(AD$24-$I56 &lt;=1, 9/10, AD$24-$I56 &lt;=10,(11-(AD$24-$I56))/10, AD$24-$I56 &gt;=11, 0),
_xlfn.IFS(AD$24-$I56 &lt;=1, 5/6, AD$24-$I56 &lt;=5, (7-(AD$24-$I56))/6, AND(AD$24-$I56 =6,NOT(_xlfn.IFNA(ISNUMBER(SEARCH("Rending",$L56)),FALSE))), (7-(AD$24-$I56))/6, AND(AD$24-$I56 &gt;=7,NOT(_xlfn.IFNA(ISNUMBER(SEARCH("Rending",$L56)),FALSE))), 0, AD$24-$I56 =7, (7-(AD$24-1-$I56))/6, AD$24-$I56 =8, (7-(AD$24-2-$I56))/6*2/3, AD$24-$I56 =9, (7-(AD$24-3-$I56))/6*1/3, TRUE, 0)) *
IF(ISNUMBER(SEARCH("Ordinance",$L56)),7/6,1) *
IF(OR(ISNUMBER(SEARCH("Melee",$L56)),ISNUMBER(SEARCH("Bypass",$L56))),1.5,1)</f>
        <v>1.1666666666666667</v>
      </c>
      <c r="AE56" s="17" cm="1">
        <f t="array" ref="AE56">$H56 *
IF(ISNUMBER(SEARCH("Rapid",$L56)),7/6,1) *
IF(OR(ISNUMBER(SEARCH("Beam",$L56)),ISNUMBER(SEARCH("Firestorm",$L56))),1, IF(ISNUMBER(SEARCH("Blast",$L56)),(4+$F56+(2-$F56)*0.5)/6*2,(4+$F56)/6)) *
IF(ISNUMBER(SEARCH("Fusion",$L56)), _xlfn.IFS(AE$24-$I56 &lt;=1, 9/10, AE$24-$I56 &lt;=10,(11-(AE$24-$I56))/10, AE$24-$I56 &gt;=11, 0),
_xlfn.IFS(AE$24-$I56 &lt;=1, 5/6, AE$24-$I56 &lt;=5, (7-(AE$24-$I56))/6, AND(AE$24-$I56 =6,NOT(_xlfn.IFNA(ISNUMBER(SEARCH("Rending",$L56)),FALSE))), (7-(AE$24-$I56))/6, AND(AE$24-$I56 &gt;=7,NOT(_xlfn.IFNA(ISNUMBER(SEARCH("Rending",$L56)),FALSE))), 0, AE$24-$I56 =7, (7-(AE$24-1-$I56))/6, AE$24-$I56 =8, (7-(AE$24-2-$I56))/6*2/3, AE$24-$I56 =9, (7-(AE$24-3-$I56))/6*1/3, TRUE, 0)) *
IF(ISNUMBER(SEARCH("Ordinance",$L56)),7/6,1) *
IF(OR(ISNUMBER(SEARCH("Melee",$L56)),ISNUMBER(SEARCH("Bypass",$L56))),1.5,1)</f>
        <v>1</v>
      </c>
      <c r="AF56" s="17" cm="1">
        <f t="array" ref="AF56">$H56 *
IF(ISNUMBER(SEARCH("Rapid",$L56)),7/6,1) *
IF(OR(ISNUMBER(SEARCH("Beam",$L56)),ISNUMBER(SEARCH("Firestorm",$L56))),1, IF(ISNUMBER(SEARCH("Blast",$L56)),(4+$F56+(2-$F56)*0.5)/6*2,(4+$F56)/6)) *
IF(ISNUMBER(SEARCH("Fusion",$L56)), _xlfn.IFS(AF$24-$I56 &lt;=1, 9/10, AF$24-$I56 &lt;=10,(11-(AF$24-$I56))/10, AF$24-$I56 &gt;=11, 0),
_xlfn.IFS(AF$24-$I56 &lt;=1, 5/6, AF$24-$I56 &lt;=5, (7-(AF$24-$I56))/6, AND(AF$24-$I56 =6,NOT(_xlfn.IFNA(ISNUMBER(SEARCH("Rending",$L56)),FALSE))), (7-(AF$24-$I56))/6, AND(AF$24-$I56 &gt;=7,NOT(_xlfn.IFNA(ISNUMBER(SEARCH("Rending",$L56)),FALSE))), 0, AF$24-$I56 =7, (7-(AF$24-1-$I56))/6, AF$24-$I56 =8, (7-(AF$24-2-$I56))/6*2/3, AF$24-$I56 =9, (7-(AF$24-3-$I56))/6*1/3, TRUE, 0)) *
IF(ISNUMBER(SEARCH("Ordinance",$L56)),7/6,1) *
IF(OR(ISNUMBER(SEARCH("Melee",$L56)),ISNUMBER(SEARCH("Bypass",$L56))),1.5,1)</f>
        <v>0.83333333333333337</v>
      </c>
      <c r="AG56" s="16">
        <f t="shared" si="3"/>
        <v>0.55555555555555558</v>
      </c>
      <c r="AH56" s="16">
        <f t="shared" si="4"/>
        <v>0.83333333333333337</v>
      </c>
      <c r="AI56" s="17" cm="1">
        <f t="array" ref="AI56">$H56 *
IF(ISNUMBER(SEARCH("Rapid",$L56)),7/6,1) *
IF(OR(ISNUMBER(SEARCH("Beam",$L56)),ISNUMBER(SEARCH("Firestorm",$L56))),1, IF(ISNUMBER(SEARCH("Blast",$L56)),(4+$G56+(2-$G56)*0.5)/6*2,(4+$G56)/6)) *
_xlfn.IFS(AI$24-$I56 &lt;=1, 5/6, AI$24-$I56 &lt;=5, (7-(AI$24-$I56))/6, AND(AI$24-$I56 =6,NOT(_xlfn.IFNA(ISNUMBER(SEARCH("Rending",$L56)),FALSE))), (7-(AI$24-$I56))/6, AND(AI$24-$I56 &gt;=7,NOT(_xlfn.IFNA(ISNUMBER(SEARCH("Rending",$L56)),FALSE))), 0, AI$24-$I56 =7, (7-(AI$24-1-$I56))/6, AI$24-$I56 =8, (7-(AI$24-2-$I56))/6*2/3, AI$24-$I56 =9, (7-(AI$24-3-$I56))/6*1/3, TRUE, 0) *
IF(ISNUMBER(SEARCH("Ordinance",$L56)),7/6,1) *
IF(OR(ISNUMBER(SEARCH("Melee",$L56)),ISNUMBER(SEARCH("Bypass",$L56))),1.5,1)</f>
        <v>1.3888888888888891</v>
      </c>
      <c r="AJ56" s="17" cm="1">
        <f t="array" ref="AJ56">$H56 *
IF(ISNUMBER(SEARCH("Rapid",$L56)),7/6,1) *
IF(OR(ISNUMBER(SEARCH("Beam",$L56)),ISNUMBER(SEARCH("Firestorm",$L56))),1, IF(ISNUMBER(SEARCH("Blast",$L56)),(4+$G56+(2-$G56)*0.5)/6*2,(4+$G56)/6)) *
_xlfn.IFS(AJ$24-$I56 &lt;=1, 5/6, AJ$24-$I56 &lt;=5, (7-(AJ$24-$I56))/6, AND(AJ$24-$I56 =6,NOT(_xlfn.IFNA(ISNUMBER(SEARCH("Rending",$L56)),FALSE))), (7-(AJ$24-$I56))/6, AND(AJ$24-$I56 &gt;=7,NOT(_xlfn.IFNA(ISNUMBER(SEARCH("Rending",$L56)),FALSE))), 0, AJ$24-$I56 =7, (7-(AJ$24-1-$I56))/6, AJ$24-$I56 =8, (7-(AJ$24-2-$I56))/6*2/3, AJ$24-$I56 =9, (7-(AJ$24-3-$I56))/6*1/3, TRUE, 0) *
IF(ISNUMBER(SEARCH("Ordinance",$L56)),7/6,1) *
IF(OR(ISNUMBER(SEARCH("Melee",$L56)),ISNUMBER(SEARCH("Bypass",$L56))),1.5,1)</f>
        <v>1.3888888888888891</v>
      </c>
      <c r="AK56" s="17" cm="1">
        <f t="array" ref="AK56">$H56 *
IF(ISNUMBER(SEARCH("Rapid",$L56)),7/6,1) *
IF(OR(ISNUMBER(SEARCH("Beam",$L56)),ISNUMBER(SEARCH("Firestorm",$L56))),1, IF(ISNUMBER(SEARCH("Blast",$L56)),(4+$G56+(2-$G56)*0.5)/6*2,(4+$G56)/6)) *
_xlfn.IFS(AK$24-$I56 &lt;=1, 5/6, AK$24-$I56 &lt;=5, (7-(AK$24-$I56))/6, AND(AK$24-$I56 =6,NOT(_xlfn.IFNA(ISNUMBER(SEARCH("Rending",$L56)),FALSE))), (7-(AK$24-$I56))/6, AND(AK$24-$I56 &gt;=7,NOT(_xlfn.IFNA(ISNUMBER(SEARCH("Rending",$L56)),FALSE))), 0, AK$24-$I56 =7, (7-(AK$24-1-$I56))/6, AK$24-$I56 =8, (7-(AK$24-2-$I56))/6*2/3, AK$24-$I56 =9, (7-(AK$24-3-$I56))/6*1/3, TRUE, 0) *
IF(ISNUMBER(SEARCH("Ordinance",$L56)),7/6,1) *
IF(OR(ISNUMBER(SEARCH("Melee",$L56)),ISNUMBER(SEARCH("Bypass",$L56))),1.5,1)</f>
        <v>1.3888888888888891</v>
      </c>
      <c r="AL56" s="17" cm="1">
        <f t="array" ref="AL56">$H56 *
IF(ISNUMBER(SEARCH("Rapid",$L56)),7/6,1) *
IF(OR(ISNUMBER(SEARCH("Beam",$L56)),ISNUMBER(SEARCH("Firestorm",$L56))),1, IF(ISNUMBER(SEARCH("Blast",$L56)),(4+$G56+(2-$G56)*0.5)/6*2,(4+$G56)/6)) *
_xlfn.IFS(AL$24-$I56 &lt;=1, 5/6, AL$24-$I56 &lt;=5, (7-(AL$24-$I56))/6, AND(AL$24-$I56 =6,NOT(_xlfn.IFNA(ISNUMBER(SEARCH("Rending",$L56)),FALSE))), (7-(AL$24-$I56))/6, AND(AL$24-$I56 &gt;=7,NOT(_xlfn.IFNA(ISNUMBER(SEARCH("Rending",$L56)),FALSE))), 0, AL$24-$I56 =7, (7-(AL$24-1-$I56))/6, AL$24-$I56 =8, (7-(AL$24-2-$I56))/6*2/3, AL$24-$I56 =9, (7-(AL$24-3-$I56))/6*1/3, TRUE, 0) *
IF(ISNUMBER(SEARCH("Ordinance",$L56)),7/6,1) *
IF(OR(ISNUMBER(SEARCH("Melee",$L56)),ISNUMBER(SEARCH("Bypass",$L56))),1.5,1)</f>
        <v>1.3888888888888891</v>
      </c>
      <c r="AM56" s="17" cm="1">
        <f t="array" ref="AM56">$H56 *
IF(ISNUMBER(SEARCH("Rapid",$L56)),7/6,1) *
IF(OR(ISNUMBER(SEARCH("Beam",$L56)),ISNUMBER(SEARCH("Firestorm",$L56))),1, IF(ISNUMBER(SEARCH("Blast",$L56)),(4+$G56+(2-$G56)*0.5)/6*2,(4+$G56)/6)) *
_xlfn.IFS(AM$24-$I56 &lt;=1, 5/6, AM$24-$I56 &lt;=5, (7-(AM$24-$I56))/6, AND(AM$24-$I56 =6,NOT(_xlfn.IFNA(ISNUMBER(SEARCH("Rending",$L56)),FALSE))), (7-(AM$24-$I56))/6, AND(AM$24-$I56 &gt;=7,NOT(_xlfn.IFNA(ISNUMBER(SEARCH("Rending",$L56)),FALSE))), 0, AM$24-$I56 =7, (7-(AM$24-1-$I56))/6, AM$24-$I56 =8, (7-(AM$24-2-$I56))/6*2/3, AM$24-$I56 =9, (7-(AM$24-3-$I56))/6*1/3, TRUE, 0) *
IF(ISNUMBER(SEARCH("Ordinance",$L56)),7/6,1) *
IF(OR(ISNUMBER(SEARCH("Melee",$L56)),ISNUMBER(SEARCH("Bypass",$L56))),1.5,1)</f>
        <v>1.3888888888888891</v>
      </c>
      <c r="AN56" s="17" cm="1">
        <f t="array" ref="AN56">$H56 *
IF(ISNUMBER(SEARCH("Rapid",$L56)),7/6,1) *
IF(OR(ISNUMBER(SEARCH("Beam",$L56)),ISNUMBER(SEARCH("Firestorm",$L56))),1, IF(ISNUMBER(SEARCH("Blast",$L56)),(4+$G56+(2-$G56)*0.5)/6*2,(4+$G56)/6)) *
_xlfn.IFS(AN$24-$I56 &lt;=1, 5/6, AN$24-$I56 &lt;=5, (7-(AN$24-$I56))/6, AND(AN$24-$I56 =6,NOT(_xlfn.IFNA(ISNUMBER(SEARCH("Rending",$L56)),FALSE))), (7-(AN$24-$I56))/6, AND(AN$24-$I56 &gt;=7,NOT(_xlfn.IFNA(ISNUMBER(SEARCH("Rending",$L56)),FALSE))), 0, AN$24-$I56 =7, (7-(AN$24-1-$I56))/6, AN$24-$I56 =8, (7-(AN$24-2-$I56))/6*2/3, AN$24-$I56 =9, (7-(AN$24-3-$I56))/6*1/3, TRUE, 0) *
IF(ISNUMBER(SEARCH("Ordinance",$L56)),7/6,1) *
IF(OR(ISNUMBER(SEARCH("Melee",$L56)),ISNUMBER(SEARCH("Bypass",$L56))),1.5,1)</f>
        <v>1.1111111111111112</v>
      </c>
      <c r="AO56" s="17" cm="1">
        <f t="array" ref="AO56">$H56 *
IF(ISNUMBER(SEARCH("Rapid",$L56)),7/6,1) *
IF(OR(ISNUMBER(SEARCH("Beam",$L56)),ISNUMBER(SEARCH("Firestorm",$L56))),1, IF(ISNUMBER(SEARCH("Blast",$L56)),(4+$G56+(2-$G56)*0.5)/6*2,(4+$G56)/6)) *
_xlfn.IFS(AO$24-$I56 &lt;=1, 5/6, AO$24-$I56 &lt;=5, (7-(AO$24-$I56))/6, AND(AO$24-$I56 =6,NOT(_xlfn.IFNA(ISNUMBER(SEARCH("Rending",$L56)),FALSE))), (7-(AO$24-$I56))/6, AND(AO$24-$I56 &gt;=7,NOT(_xlfn.IFNA(ISNUMBER(SEARCH("Rending",$L56)),FALSE))), 0, AO$24-$I56 =7, (7-(AO$24-1-$I56))/6, AO$24-$I56 =8, (7-(AO$24-2-$I56))/6*2/3, AO$24-$I56 =9, (7-(AO$24-3-$I56))/6*1/3, TRUE, 0) *
IF(ISNUMBER(SEARCH("Ordinance",$L56)),7/6,1) *
IF(OR(ISNUMBER(SEARCH("Melee",$L56)),ISNUMBER(SEARCH("Bypass",$L56))),1.5,1)</f>
        <v>0.83333333333333337</v>
      </c>
      <c r="AP56" s="17" cm="1">
        <f t="array" ref="AP56">$H56 *
IF(ISNUMBER(SEARCH("Rapid",$L56)),7/6,1) *
IF(OR(ISNUMBER(SEARCH("Beam",$L56)),ISNUMBER(SEARCH("Firestorm",$L56))),1, IF(ISNUMBER(SEARCH("Blast",$L56)),(4+$G56+(2-$G56)*0.5)/6*2,(4+$G56)/6)) *
_xlfn.IFS(AP$24-$I56 &lt;=1, 5/6, AP$24-$I56 &lt;=5, (7-(AP$24-$I56))/6, AND(AP$24-$I56 =6,NOT(_xlfn.IFNA(ISNUMBER(SEARCH("Rending",$L56)),FALSE))), (7-(AP$24-$I56))/6, AND(AP$24-$I56 &gt;=7,NOT(_xlfn.IFNA(ISNUMBER(SEARCH("Rending",$L56)),FALSE))), 0, AP$24-$I56 =7, (7-(AP$24-1-$I56))/6, AP$24-$I56 =8, (7-(AP$24-2-$I56))/6*2/3, AP$24-$I56 =9, (7-(AP$24-3-$I56))/6*1/3, TRUE, 0) *
IF(ISNUMBER(SEARCH("Ordinance",$L56)),7/6,1) *
IF(OR(ISNUMBER(SEARCH("Melee",$L56)),ISNUMBER(SEARCH("Bypass",$L56))),1.5,1)</f>
        <v>0.55555555555555558</v>
      </c>
      <c r="AQ56" s="17" cm="1">
        <f t="array" ref="AQ56">$H56 *
IF(ISNUMBER(SEARCH("Rapid",$L56)),7/6,1) *
IF(OR(ISNUMBER(SEARCH("Beam",$L56)),ISNUMBER(SEARCH("Firestorm",$L56))),1, IF(ISNUMBER(SEARCH("Blast",$L56)),(4+$G56+(2-$G56)*0.5)/6*2,(4+$G56)/6)) *
_xlfn.IFS(AQ$24-$I56 &lt;=1, 5/6, AQ$24-$I56 &lt;=5, (7-(AQ$24-$I56))/6, AND(AQ$24-$I56 =6,NOT(_xlfn.IFNA(ISNUMBER(SEARCH("Rending",$L56)),FALSE))), (7-(AQ$24-$I56))/6, AND(AQ$24-$I56 &gt;=7,NOT(_xlfn.IFNA(ISNUMBER(SEARCH("Rending",$L56)),FALSE))), 0, AQ$24-$I56 =7, (7-(AQ$24-1-$I56))/6, AQ$24-$I56 =8, (7-(AQ$24-2-$I56))/6*2/3, AQ$24-$I56 =9, (7-(AQ$24-3-$I56))/6*1/3, TRUE, 0) *
IF(ISNUMBER(SEARCH("Ordinance",$L56)),7/6,1) *
IF(OR(ISNUMBER(SEARCH("Melee",$L56)),ISNUMBER(SEARCH("Bypass",$L56))),1.5,1)</f>
        <v>0.27777777777777779</v>
      </c>
      <c r="AS56" s="16">
        <f t="shared" si="10"/>
        <v>0.55555555555555558</v>
      </c>
      <c r="AT56" s="16">
        <f t="shared" si="10"/>
        <v>0.83333333333333337</v>
      </c>
      <c r="AU56" s="16">
        <f t="shared" si="9"/>
        <v>0.74351851851851836</v>
      </c>
      <c r="AV56" s="2">
        <v>13</v>
      </c>
    </row>
    <row r="57" spans="1:48" x14ac:dyDescent="0.3">
      <c r="A57" t="s">
        <v>209</v>
      </c>
      <c r="B57" s="3">
        <v>30</v>
      </c>
      <c r="C57" s="3">
        <v>60</v>
      </c>
      <c r="D57" s="3">
        <v>1</v>
      </c>
      <c r="E57" s="3">
        <v>2</v>
      </c>
      <c r="F57" s="10"/>
      <c r="G57" s="10"/>
      <c r="H57" s="3">
        <v>1</v>
      </c>
      <c r="I57" s="3">
        <v>10</v>
      </c>
      <c r="J57" s="3" t="s">
        <v>216</v>
      </c>
      <c r="K57" s="3">
        <v>25</v>
      </c>
      <c r="L57" s="3" t="s">
        <v>218</v>
      </c>
      <c r="M57" s="3" t="s">
        <v>199</v>
      </c>
      <c r="N57" s="3">
        <v>10</v>
      </c>
      <c r="O57" s="3">
        <v>10</v>
      </c>
      <c r="P57" s="3">
        <v>14</v>
      </c>
      <c r="Q57" s="3" t="s">
        <v>200</v>
      </c>
      <c r="R57" s="3">
        <v>7</v>
      </c>
      <c r="S57" s="3">
        <v>9</v>
      </c>
      <c r="T57" s="3">
        <v>5</v>
      </c>
      <c r="V57" s="16">
        <f t="shared" si="1"/>
        <v>0.55555555555555558</v>
      </c>
      <c r="W57" s="16">
        <f t="shared" si="2"/>
        <v>0.83333333333333337</v>
      </c>
      <c r="X57" s="17" cm="1">
        <f t="array" ref="X57">$H57 *
IF(ISNUMBER(SEARCH("Rapid",$L57)),7/6,1) *
IF(OR(ISNUMBER(SEARCH("Beam",$L57)),ISNUMBER(SEARCH("Firestorm",$L57))),1, IF(ISNUMBER(SEARCH("Blast",$L57)),(4+$F57+(2-$F57)*0.5)/6*2,(4+$F57)/6)) *
IF(ISNUMBER(SEARCH("Fusion",$L57)), _xlfn.IFS(X$24-$I57 &lt;=1, 9/10, X$24-$I57 &lt;=10,(11-(X$24-$I57))/10, X$24-$I57 &gt;=11, 0),
_xlfn.IFS(X$24-$I57 &lt;=1, 5/6, X$24-$I57 &lt;=5, (7-(X$24-$I57))/6, AND(X$24-$I57 =6,NOT(_xlfn.IFNA(ISNUMBER(SEARCH("Rending",$L57)),FALSE))), (7-(X$24-$I57))/6, AND(X$24-$I57 &gt;=7,NOT(_xlfn.IFNA(ISNUMBER(SEARCH("Rending",$L57)),FALSE))), 0, X$24-$I57 =7, (7-(X$24-1-$I57))/6, X$24-$I57 =8, (7-(X$24-2-$I57))/6*2/3, X$24-$I57 =9, (7-(X$24-3-$I57))/6*1/3, TRUE, 0)) *
IF(ISNUMBER(SEARCH("Ordinance",$L57)),7/6,1) *
IF(OR(ISNUMBER(SEARCH("Melee",$L57)),ISNUMBER(SEARCH("Bypass",$L57))),1.5,1)</f>
        <v>1.3888888888888891</v>
      </c>
      <c r="Y57" s="17" cm="1">
        <f t="array" ref="Y57">$H57 *
IF(ISNUMBER(SEARCH("Rapid",$L57)),7/6,1) *
IF(OR(ISNUMBER(SEARCH("Beam",$L57)),ISNUMBER(SEARCH("Firestorm",$L57))),1, IF(ISNUMBER(SEARCH("Blast",$L57)),(4+$F57+(2-$F57)*0.5)/6*2,(4+$F57)/6)) *
IF(ISNUMBER(SEARCH("Fusion",$L57)), _xlfn.IFS(Y$24-$I57 &lt;=1, 9/10, Y$24-$I57 &lt;=10,(11-(Y$24-$I57))/10, Y$24-$I57 &gt;=11, 0),
_xlfn.IFS(Y$24-$I57 &lt;=1, 5/6, Y$24-$I57 &lt;=5, (7-(Y$24-$I57))/6, AND(Y$24-$I57 =6,NOT(_xlfn.IFNA(ISNUMBER(SEARCH("Rending",$L57)),FALSE))), (7-(Y$24-$I57))/6, AND(Y$24-$I57 &gt;=7,NOT(_xlfn.IFNA(ISNUMBER(SEARCH("Rending",$L57)),FALSE))), 0, Y$24-$I57 =7, (7-(Y$24-1-$I57))/6, Y$24-$I57 =8, (7-(Y$24-2-$I57))/6*2/3, Y$24-$I57 =9, (7-(Y$24-3-$I57))/6*1/3, TRUE, 0)) *
IF(ISNUMBER(SEARCH("Ordinance",$L57)),7/6,1) *
IF(OR(ISNUMBER(SEARCH("Melee",$L57)),ISNUMBER(SEARCH("Bypass",$L57))),1.5,1)</f>
        <v>1.3888888888888891</v>
      </c>
      <c r="Z57" s="17" cm="1">
        <f t="array" ref="Z57">$H57 *
IF(ISNUMBER(SEARCH("Rapid",$L57)),7/6,1) *
IF(OR(ISNUMBER(SEARCH("Beam",$L57)),ISNUMBER(SEARCH("Firestorm",$L57))),1, IF(ISNUMBER(SEARCH("Blast",$L57)),(4+$F57+(2-$F57)*0.5)/6*2,(4+$F57)/6)) *
IF(ISNUMBER(SEARCH("Fusion",$L57)), _xlfn.IFS(Z$24-$I57 &lt;=1, 9/10, Z$24-$I57 &lt;=10,(11-(Z$24-$I57))/10, Z$24-$I57 &gt;=11, 0),
_xlfn.IFS(Z$24-$I57 &lt;=1, 5/6, Z$24-$I57 &lt;=5, (7-(Z$24-$I57))/6, AND(Z$24-$I57 =6,NOT(_xlfn.IFNA(ISNUMBER(SEARCH("Rending",$L57)),FALSE))), (7-(Z$24-$I57))/6, AND(Z$24-$I57 &gt;=7,NOT(_xlfn.IFNA(ISNUMBER(SEARCH("Rending",$L57)),FALSE))), 0, Z$24-$I57 =7, (7-(Z$24-1-$I57))/6, Z$24-$I57 =8, (7-(Z$24-2-$I57))/6*2/3, Z$24-$I57 =9, (7-(Z$24-3-$I57))/6*1/3, TRUE, 0)) *
IF(ISNUMBER(SEARCH("Ordinance",$L57)),7/6,1) *
IF(OR(ISNUMBER(SEARCH("Melee",$L57)),ISNUMBER(SEARCH("Bypass",$L57))),1.5,1)</f>
        <v>1.3888888888888891</v>
      </c>
      <c r="AA57" s="17" cm="1">
        <f t="array" ref="AA57">$H57 *
IF(ISNUMBER(SEARCH("Rapid",$L57)),7/6,1) *
IF(OR(ISNUMBER(SEARCH("Beam",$L57)),ISNUMBER(SEARCH("Firestorm",$L57))),1, IF(ISNUMBER(SEARCH("Blast",$L57)),(4+$F57+(2-$F57)*0.5)/6*2,(4+$F57)/6)) *
IF(ISNUMBER(SEARCH("Fusion",$L57)), _xlfn.IFS(AA$24-$I57 &lt;=1, 9/10, AA$24-$I57 &lt;=10,(11-(AA$24-$I57))/10, AA$24-$I57 &gt;=11, 0),
_xlfn.IFS(AA$24-$I57 &lt;=1, 5/6, AA$24-$I57 &lt;=5, (7-(AA$24-$I57))/6, AND(AA$24-$I57 =6,NOT(_xlfn.IFNA(ISNUMBER(SEARCH("Rending",$L57)),FALSE))), (7-(AA$24-$I57))/6, AND(AA$24-$I57 &gt;=7,NOT(_xlfn.IFNA(ISNUMBER(SEARCH("Rending",$L57)),FALSE))), 0, AA$24-$I57 =7, (7-(AA$24-1-$I57))/6, AA$24-$I57 =8, (7-(AA$24-2-$I57))/6*2/3, AA$24-$I57 =9, (7-(AA$24-3-$I57))/6*1/3, TRUE, 0)) *
IF(ISNUMBER(SEARCH("Ordinance",$L57)),7/6,1) *
IF(OR(ISNUMBER(SEARCH("Melee",$L57)),ISNUMBER(SEARCH("Bypass",$L57))),1.5,1)</f>
        <v>1.3888888888888891</v>
      </c>
      <c r="AB57" s="17" cm="1">
        <f t="array" ref="AB57">$H57 *
IF(ISNUMBER(SEARCH("Rapid",$L57)),7/6,1) *
IF(OR(ISNUMBER(SEARCH("Beam",$L57)),ISNUMBER(SEARCH("Firestorm",$L57))),1, IF(ISNUMBER(SEARCH("Blast",$L57)),(4+$F57+(2-$F57)*0.5)/6*2,(4+$F57)/6)) *
IF(ISNUMBER(SEARCH("Fusion",$L57)), _xlfn.IFS(AB$24-$I57 &lt;=1, 9/10, AB$24-$I57 &lt;=10,(11-(AB$24-$I57))/10, AB$24-$I57 &gt;=11, 0),
_xlfn.IFS(AB$24-$I57 &lt;=1, 5/6, AB$24-$I57 &lt;=5, (7-(AB$24-$I57))/6, AND(AB$24-$I57 =6,NOT(_xlfn.IFNA(ISNUMBER(SEARCH("Rending",$L57)),FALSE))), (7-(AB$24-$I57))/6, AND(AB$24-$I57 &gt;=7,NOT(_xlfn.IFNA(ISNUMBER(SEARCH("Rending",$L57)),FALSE))), 0, AB$24-$I57 =7, (7-(AB$24-1-$I57))/6, AB$24-$I57 =8, (7-(AB$24-2-$I57))/6*2/3, AB$24-$I57 =9, (7-(AB$24-3-$I57))/6*1/3, TRUE, 0)) *
IF(ISNUMBER(SEARCH("Ordinance",$L57)),7/6,1) *
IF(OR(ISNUMBER(SEARCH("Melee",$L57)),ISNUMBER(SEARCH("Bypass",$L57))),1.5,1)</f>
        <v>1.1111111111111112</v>
      </c>
      <c r="AC57" s="17" cm="1">
        <f t="array" ref="AC57">$H57 *
IF(ISNUMBER(SEARCH("Rapid",$L57)),7/6,1) *
IF(OR(ISNUMBER(SEARCH("Beam",$L57)),ISNUMBER(SEARCH("Firestorm",$L57))),1, IF(ISNUMBER(SEARCH("Blast",$L57)),(4+$F57+(2-$F57)*0.5)/6*2,(4+$F57)/6)) *
IF(ISNUMBER(SEARCH("Fusion",$L57)), _xlfn.IFS(AC$24-$I57 &lt;=1, 9/10, AC$24-$I57 &lt;=10,(11-(AC$24-$I57))/10, AC$24-$I57 &gt;=11, 0),
_xlfn.IFS(AC$24-$I57 &lt;=1, 5/6, AC$24-$I57 &lt;=5, (7-(AC$24-$I57))/6, AND(AC$24-$I57 =6,NOT(_xlfn.IFNA(ISNUMBER(SEARCH("Rending",$L57)),FALSE))), (7-(AC$24-$I57))/6, AND(AC$24-$I57 &gt;=7,NOT(_xlfn.IFNA(ISNUMBER(SEARCH("Rending",$L57)),FALSE))), 0, AC$24-$I57 =7, (7-(AC$24-1-$I57))/6, AC$24-$I57 =8, (7-(AC$24-2-$I57))/6*2/3, AC$24-$I57 =9, (7-(AC$24-3-$I57))/6*1/3, TRUE, 0)) *
IF(ISNUMBER(SEARCH("Ordinance",$L57)),7/6,1) *
IF(OR(ISNUMBER(SEARCH("Melee",$L57)),ISNUMBER(SEARCH("Bypass",$L57))),1.5,1)</f>
        <v>0.83333333333333337</v>
      </c>
      <c r="AD57" s="17" cm="1">
        <f t="array" ref="AD57">$H57 *
IF(ISNUMBER(SEARCH("Rapid",$L57)),7/6,1) *
IF(OR(ISNUMBER(SEARCH("Beam",$L57)),ISNUMBER(SEARCH("Firestorm",$L57))),1, IF(ISNUMBER(SEARCH("Blast",$L57)),(4+$F57+(2-$F57)*0.5)/6*2,(4+$F57)/6)) *
IF(ISNUMBER(SEARCH("Fusion",$L57)), _xlfn.IFS(AD$24-$I57 &lt;=1, 9/10, AD$24-$I57 &lt;=10,(11-(AD$24-$I57))/10, AD$24-$I57 &gt;=11, 0),
_xlfn.IFS(AD$24-$I57 &lt;=1, 5/6, AD$24-$I57 &lt;=5, (7-(AD$24-$I57))/6, AND(AD$24-$I57 =6,NOT(_xlfn.IFNA(ISNUMBER(SEARCH("Rending",$L57)),FALSE))), (7-(AD$24-$I57))/6, AND(AD$24-$I57 &gt;=7,NOT(_xlfn.IFNA(ISNUMBER(SEARCH("Rending",$L57)),FALSE))), 0, AD$24-$I57 =7, (7-(AD$24-1-$I57))/6, AD$24-$I57 =8, (7-(AD$24-2-$I57))/6*2/3, AD$24-$I57 =9, (7-(AD$24-3-$I57))/6*1/3, TRUE, 0)) *
IF(ISNUMBER(SEARCH("Ordinance",$L57)),7/6,1) *
IF(OR(ISNUMBER(SEARCH("Melee",$L57)),ISNUMBER(SEARCH("Bypass",$L57))),1.5,1)</f>
        <v>0.55555555555555558</v>
      </c>
      <c r="AE57" s="17" cm="1">
        <f t="array" ref="AE57">$H57 *
IF(ISNUMBER(SEARCH("Rapid",$L57)),7/6,1) *
IF(OR(ISNUMBER(SEARCH("Beam",$L57)),ISNUMBER(SEARCH("Firestorm",$L57))),1, IF(ISNUMBER(SEARCH("Blast",$L57)),(4+$F57+(2-$F57)*0.5)/6*2,(4+$F57)/6)) *
IF(ISNUMBER(SEARCH("Fusion",$L57)), _xlfn.IFS(AE$24-$I57 &lt;=1, 9/10, AE$24-$I57 &lt;=10,(11-(AE$24-$I57))/10, AE$24-$I57 &gt;=11, 0),
_xlfn.IFS(AE$24-$I57 &lt;=1, 5/6, AE$24-$I57 &lt;=5, (7-(AE$24-$I57))/6, AND(AE$24-$I57 =6,NOT(_xlfn.IFNA(ISNUMBER(SEARCH("Rending",$L57)),FALSE))), (7-(AE$24-$I57))/6, AND(AE$24-$I57 &gt;=7,NOT(_xlfn.IFNA(ISNUMBER(SEARCH("Rending",$L57)),FALSE))), 0, AE$24-$I57 =7, (7-(AE$24-1-$I57))/6, AE$24-$I57 =8, (7-(AE$24-2-$I57))/6*2/3, AE$24-$I57 =9, (7-(AE$24-3-$I57))/6*1/3, TRUE, 0)) *
IF(ISNUMBER(SEARCH("Ordinance",$L57)),7/6,1) *
IF(OR(ISNUMBER(SEARCH("Melee",$L57)),ISNUMBER(SEARCH("Bypass",$L57))),1.5,1)</f>
        <v>0.27777777777777779</v>
      </c>
      <c r="AF57" s="17" cm="1">
        <f t="array" ref="AF57">$H57 *
IF(ISNUMBER(SEARCH("Rapid",$L57)),7/6,1) *
IF(OR(ISNUMBER(SEARCH("Beam",$L57)),ISNUMBER(SEARCH("Firestorm",$L57))),1, IF(ISNUMBER(SEARCH("Blast",$L57)),(4+$F57+(2-$F57)*0.5)/6*2,(4+$F57)/6)) *
IF(ISNUMBER(SEARCH("Fusion",$L57)), _xlfn.IFS(AF$24-$I57 &lt;=1, 9/10, AF$24-$I57 &lt;=10,(11-(AF$24-$I57))/10, AF$24-$I57 &gt;=11, 0),
_xlfn.IFS(AF$24-$I57 &lt;=1, 5/6, AF$24-$I57 &lt;=5, (7-(AF$24-$I57))/6, AND(AF$24-$I57 =6,NOT(_xlfn.IFNA(ISNUMBER(SEARCH("Rending",$L57)),FALSE))), (7-(AF$24-$I57))/6, AND(AF$24-$I57 &gt;=7,NOT(_xlfn.IFNA(ISNUMBER(SEARCH("Rending",$L57)),FALSE))), 0, AF$24-$I57 =7, (7-(AF$24-1-$I57))/6, AF$24-$I57 =8, (7-(AF$24-2-$I57))/6*2/3, AF$24-$I57 =9, (7-(AF$24-3-$I57))/6*1/3, TRUE, 0)) *
IF(ISNUMBER(SEARCH("Ordinance",$L57)),7/6,1) *
IF(OR(ISNUMBER(SEARCH("Melee",$L57)),ISNUMBER(SEARCH("Bypass",$L57))),1.5,1)</f>
        <v>0</v>
      </c>
      <c r="AG57" s="16">
        <f t="shared" si="3"/>
        <v>0.55555555555555558</v>
      </c>
      <c r="AH57" s="16">
        <f t="shared" si="4"/>
        <v>0.83333333333333337</v>
      </c>
      <c r="AI57" s="17" cm="1">
        <f t="array" ref="AI57">$H57 *
IF(ISNUMBER(SEARCH("Rapid",$L57)),7/6,1) *
IF(OR(ISNUMBER(SEARCH("Beam",$L57)),ISNUMBER(SEARCH("Firestorm",$L57))),1, IF(ISNUMBER(SEARCH("Blast",$L57)),(4+$G57+(2-$G57)*0.5)/6*2,(4+$G57)/6)) *
_xlfn.IFS(AI$24-$I57 &lt;=1, 5/6, AI$24-$I57 &lt;=5, (7-(AI$24-$I57))/6, AND(AI$24-$I57 =6,NOT(_xlfn.IFNA(ISNUMBER(SEARCH("Rending",$L57)),FALSE))), (7-(AI$24-$I57))/6, AND(AI$24-$I57 &gt;=7,NOT(_xlfn.IFNA(ISNUMBER(SEARCH("Rending",$L57)),FALSE))), 0, AI$24-$I57 =7, (7-(AI$24-1-$I57))/6, AI$24-$I57 =8, (7-(AI$24-2-$I57))/6*2/3, AI$24-$I57 =9, (7-(AI$24-3-$I57))/6*1/3, TRUE, 0) *
IF(ISNUMBER(SEARCH("Ordinance",$L57)),7/6,1) *
IF(OR(ISNUMBER(SEARCH("Melee",$L57)),ISNUMBER(SEARCH("Bypass",$L57))),1.5,1)</f>
        <v>1.3888888888888891</v>
      </c>
      <c r="AJ57" s="17" cm="1">
        <f t="array" ref="AJ57">$H57 *
IF(ISNUMBER(SEARCH("Rapid",$L57)),7/6,1) *
IF(OR(ISNUMBER(SEARCH("Beam",$L57)),ISNUMBER(SEARCH("Firestorm",$L57))),1, IF(ISNUMBER(SEARCH("Blast",$L57)),(4+$G57+(2-$G57)*0.5)/6*2,(4+$G57)/6)) *
_xlfn.IFS(AJ$24-$I57 &lt;=1, 5/6, AJ$24-$I57 &lt;=5, (7-(AJ$24-$I57))/6, AND(AJ$24-$I57 =6,NOT(_xlfn.IFNA(ISNUMBER(SEARCH("Rending",$L57)),FALSE))), (7-(AJ$24-$I57))/6, AND(AJ$24-$I57 &gt;=7,NOT(_xlfn.IFNA(ISNUMBER(SEARCH("Rending",$L57)),FALSE))), 0, AJ$24-$I57 =7, (7-(AJ$24-1-$I57))/6, AJ$24-$I57 =8, (7-(AJ$24-2-$I57))/6*2/3, AJ$24-$I57 =9, (7-(AJ$24-3-$I57))/6*1/3, TRUE, 0) *
IF(ISNUMBER(SEARCH("Ordinance",$L57)),7/6,1) *
IF(OR(ISNUMBER(SEARCH("Melee",$L57)),ISNUMBER(SEARCH("Bypass",$L57))),1.5,1)</f>
        <v>1.3888888888888891</v>
      </c>
      <c r="AK57" s="17" cm="1">
        <f t="array" ref="AK57">$H57 *
IF(ISNUMBER(SEARCH("Rapid",$L57)),7/6,1) *
IF(OR(ISNUMBER(SEARCH("Beam",$L57)),ISNUMBER(SEARCH("Firestorm",$L57))),1, IF(ISNUMBER(SEARCH("Blast",$L57)),(4+$G57+(2-$G57)*0.5)/6*2,(4+$G57)/6)) *
_xlfn.IFS(AK$24-$I57 &lt;=1, 5/6, AK$24-$I57 &lt;=5, (7-(AK$24-$I57))/6, AND(AK$24-$I57 =6,NOT(_xlfn.IFNA(ISNUMBER(SEARCH("Rending",$L57)),FALSE))), (7-(AK$24-$I57))/6, AND(AK$24-$I57 &gt;=7,NOT(_xlfn.IFNA(ISNUMBER(SEARCH("Rending",$L57)),FALSE))), 0, AK$24-$I57 =7, (7-(AK$24-1-$I57))/6, AK$24-$I57 =8, (7-(AK$24-2-$I57))/6*2/3, AK$24-$I57 =9, (7-(AK$24-3-$I57))/6*1/3, TRUE, 0) *
IF(ISNUMBER(SEARCH("Ordinance",$L57)),7/6,1) *
IF(OR(ISNUMBER(SEARCH("Melee",$L57)),ISNUMBER(SEARCH("Bypass",$L57))),1.5,1)</f>
        <v>1.3888888888888891</v>
      </c>
      <c r="AL57" s="17" cm="1">
        <f t="array" ref="AL57">$H57 *
IF(ISNUMBER(SEARCH("Rapid",$L57)),7/6,1) *
IF(OR(ISNUMBER(SEARCH("Beam",$L57)),ISNUMBER(SEARCH("Firestorm",$L57))),1, IF(ISNUMBER(SEARCH("Blast",$L57)),(4+$G57+(2-$G57)*0.5)/6*2,(4+$G57)/6)) *
_xlfn.IFS(AL$24-$I57 &lt;=1, 5/6, AL$24-$I57 &lt;=5, (7-(AL$24-$I57))/6, AND(AL$24-$I57 =6,NOT(_xlfn.IFNA(ISNUMBER(SEARCH("Rending",$L57)),FALSE))), (7-(AL$24-$I57))/6, AND(AL$24-$I57 &gt;=7,NOT(_xlfn.IFNA(ISNUMBER(SEARCH("Rending",$L57)),FALSE))), 0, AL$24-$I57 =7, (7-(AL$24-1-$I57))/6, AL$24-$I57 =8, (7-(AL$24-2-$I57))/6*2/3, AL$24-$I57 =9, (7-(AL$24-3-$I57))/6*1/3, TRUE, 0) *
IF(ISNUMBER(SEARCH("Ordinance",$L57)),7/6,1) *
IF(OR(ISNUMBER(SEARCH("Melee",$L57)),ISNUMBER(SEARCH("Bypass",$L57))),1.5,1)</f>
        <v>1.3888888888888891</v>
      </c>
      <c r="AM57" s="17" cm="1">
        <f t="array" ref="AM57">$H57 *
IF(ISNUMBER(SEARCH("Rapid",$L57)),7/6,1) *
IF(OR(ISNUMBER(SEARCH("Beam",$L57)),ISNUMBER(SEARCH("Firestorm",$L57))),1, IF(ISNUMBER(SEARCH("Blast",$L57)),(4+$G57+(2-$G57)*0.5)/6*2,(4+$G57)/6)) *
_xlfn.IFS(AM$24-$I57 &lt;=1, 5/6, AM$24-$I57 &lt;=5, (7-(AM$24-$I57))/6, AND(AM$24-$I57 =6,NOT(_xlfn.IFNA(ISNUMBER(SEARCH("Rending",$L57)),FALSE))), (7-(AM$24-$I57))/6, AND(AM$24-$I57 &gt;=7,NOT(_xlfn.IFNA(ISNUMBER(SEARCH("Rending",$L57)),FALSE))), 0, AM$24-$I57 =7, (7-(AM$24-1-$I57))/6, AM$24-$I57 =8, (7-(AM$24-2-$I57))/6*2/3, AM$24-$I57 =9, (7-(AM$24-3-$I57))/6*1/3, TRUE, 0) *
IF(ISNUMBER(SEARCH("Ordinance",$L57)),7/6,1) *
IF(OR(ISNUMBER(SEARCH("Melee",$L57)),ISNUMBER(SEARCH("Bypass",$L57))),1.5,1)</f>
        <v>1.1111111111111112</v>
      </c>
      <c r="AN57" s="17" cm="1">
        <f t="array" ref="AN57">$H57 *
IF(ISNUMBER(SEARCH("Rapid",$L57)),7/6,1) *
IF(OR(ISNUMBER(SEARCH("Beam",$L57)),ISNUMBER(SEARCH("Firestorm",$L57))),1, IF(ISNUMBER(SEARCH("Blast",$L57)),(4+$G57+(2-$G57)*0.5)/6*2,(4+$G57)/6)) *
_xlfn.IFS(AN$24-$I57 &lt;=1, 5/6, AN$24-$I57 &lt;=5, (7-(AN$24-$I57))/6, AND(AN$24-$I57 =6,NOT(_xlfn.IFNA(ISNUMBER(SEARCH("Rending",$L57)),FALSE))), (7-(AN$24-$I57))/6, AND(AN$24-$I57 &gt;=7,NOT(_xlfn.IFNA(ISNUMBER(SEARCH("Rending",$L57)),FALSE))), 0, AN$24-$I57 =7, (7-(AN$24-1-$I57))/6, AN$24-$I57 =8, (7-(AN$24-2-$I57))/6*2/3, AN$24-$I57 =9, (7-(AN$24-3-$I57))/6*1/3, TRUE, 0) *
IF(ISNUMBER(SEARCH("Ordinance",$L57)),7/6,1) *
IF(OR(ISNUMBER(SEARCH("Melee",$L57)),ISNUMBER(SEARCH("Bypass",$L57))),1.5,1)</f>
        <v>0.83333333333333337</v>
      </c>
      <c r="AO57" s="17" cm="1">
        <f t="array" ref="AO57">$H57 *
IF(ISNUMBER(SEARCH("Rapid",$L57)),7/6,1) *
IF(OR(ISNUMBER(SEARCH("Beam",$L57)),ISNUMBER(SEARCH("Firestorm",$L57))),1, IF(ISNUMBER(SEARCH("Blast",$L57)),(4+$G57+(2-$G57)*0.5)/6*2,(4+$G57)/6)) *
_xlfn.IFS(AO$24-$I57 &lt;=1, 5/6, AO$24-$I57 &lt;=5, (7-(AO$24-$I57))/6, AND(AO$24-$I57 =6,NOT(_xlfn.IFNA(ISNUMBER(SEARCH("Rending",$L57)),FALSE))), (7-(AO$24-$I57))/6, AND(AO$24-$I57 &gt;=7,NOT(_xlfn.IFNA(ISNUMBER(SEARCH("Rending",$L57)),FALSE))), 0, AO$24-$I57 =7, (7-(AO$24-1-$I57))/6, AO$24-$I57 =8, (7-(AO$24-2-$I57))/6*2/3, AO$24-$I57 =9, (7-(AO$24-3-$I57))/6*1/3, TRUE, 0) *
IF(ISNUMBER(SEARCH("Ordinance",$L57)),7/6,1) *
IF(OR(ISNUMBER(SEARCH("Melee",$L57)),ISNUMBER(SEARCH("Bypass",$L57))),1.5,1)</f>
        <v>0.55555555555555558</v>
      </c>
      <c r="AP57" s="17" cm="1">
        <f t="array" ref="AP57">$H57 *
IF(ISNUMBER(SEARCH("Rapid",$L57)),7/6,1) *
IF(OR(ISNUMBER(SEARCH("Beam",$L57)),ISNUMBER(SEARCH("Firestorm",$L57))),1, IF(ISNUMBER(SEARCH("Blast",$L57)),(4+$G57+(2-$G57)*0.5)/6*2,(4+$G57)/6)) *
_xlfn.IFS(AP$24-$I57 &lt;=1, 5/6, AP$24-$I57 &lt;=5, (7-(AP$24-$I57))/6, AND(AP$24-$I57 =6,NOT(_xlfn.IFNA(ISNUMBER(SEARCH("Rending",$L57)),FALSE))), (7-(AP$24-$I57))/6, AND(AP$24-$I57 &gt;=7,NOT(_xlfn.IFNA(ISNUMBER(SEARCH("Rending",$L57)),FALSE))), 0, AP$24-$I57 =7, (7-(AP$24-1-$I57))/6, AP$24-$I57 =8, (7-(AP$24-2-$I57))/6*2/3, AP$24-$I57 =9, (7-(AP$24-3-$I57))/6*1/3, TRUE, 0) *
IF(ISNUMBER(SEARCH("Ordinance",$L57)),7/6,1) *
IF(OR(ISNUMBER(SEARCH("Melee",$L57)),ISNUMBER(SEARCH("Bypass",$L57))),1.5,1)</f>
        <v>0.27777777777777779</v>
      </c>
      <c r="AQ57" s="17" cm="1">
        <f t="array" ref="AQ57">$H57 *
IF(ISNUMBER(SEARCH("Rapid",$L57)),7/6,1) *
IF(OR(ISNUMBER(SEARCH("Beam",$L57)),ISNUMBER(SEARCH("Firestorm",$L57))),1, IF(ISNUMBER(SEARCH("Blast",$L57)),(4+$G57+(2-$G57)*0.5)/6*2,(4+$G57)/6)) *
_xlfn.IFS(AQ$24-$I57 &lt;=1, 5/6, AQ$24-$I57 &lt;=5, (7-(AQ$24-$I57))/6, AND(AQ$24-$I57 =6,NOT(_xlfn.IFNA(ISNUMBER(SEARCH("Rending",$L57)),FALSE))), (7-(AQ$24-$I57))/6, AND(AQ$24-$I57 &gt;=7,NOT(_xlfn.IFNA(ISNUMBER(SEARCH("Rending",$L57)),FALSE))), 0, AQ$24-$I57 =7, (7-(AQ$24-1-$I57))/6, AQ$24-$I57 =8, (7-(AQ$24-2-$I57))/6*2/3, AQ$24-$I57 =9, (7-(AQ$24-3-$I57))/6*1/3, TRUE, 0) *
IF(ISNUMBER(SEARCH("Ordinance",$L57)),7/6,1) *
IF(OR(ISNUMBER(SEARCH("Melee",$L57)),ISNUMBER(SEARCH("Bypass",$L57))),1.5,1)</f>
        <v>0</v>
      </c>
      <c r="AS57" s="16">
        <f>IF($E57=1,AG57*3,IF($E57=2,2*AG57,1.1*AG57))/3</f>
        <v>0.37037037037037041</v>
      </c>
      <c r="AT57" s="16">
        <f t="shared" si="10"/>
        <v>0.55555555555555558</v>
      </c>
      <c r="AU57" s="16">
        <f t="shared" si="9"/>
        <v>1.1574074074074077</v>
      </c>
      <c r="AV57" s="2">
        <v>12</v>
      </c>
    </row>
    <row r="58" spans="1:48" x14ac:dyDescent="0.3">
      <c r="A58" t="s">
        <v>211</v>
      </c>
      <c r="B58" s="3">
        <v>2</v>
      </c>
      <c r="C58" s="3">
        <v>2</v>
      </c>
      <c r="D58" s="3">
        <v>1</v>
      </c>
      <c r="E58" s="3">
        <v>0</v>
      </c>
      <c r="F58" s="10">
        <v>1</v>
      </c>
      <c r="G58" s="10"/>
      <c r="H58" s="3">
        <v>2</v>
      </c>
      <c r="I58" s="3">
        <v>9</v>
      </c>
      <c r="J58" s="3" t="s">
        <v>216</v>
      </c>
      <c r="K58" s="3">
        <v>20</v>
      </c>
      <c r="L58" s="3" t="s">
        <v>219</v>
      </c>
      <c r="M58" s="3" t="s">
        <v>199</v>
      </c>
      <c r="N58" s="3">
        <v>10</v>
      </c>
      <c r="O58" s="3">
        <v>10</v>
      </c>
      <c r="P58" s="3">
        <v>14</v>
      </c>
      <c r="Q58" s="3" t="s">
        <v>200</v>
      </c>
      <c r="R58" s="3">
        <v>7</v>
      </c>
      <c r="S58" s="3">
        <v>9</v>
      </c>
      <c r="T58" s="3">
        <v>2</v>
      </c>
      <c r="V58" s="16">
        <f t="shared" si="1"/>
        <v>0</v>
      </c>
      <c r="W58" s="16">
        <f t="shared" si="2"/>
        <v>0</v>
      </c>
      <c r="X58" s="17" cm="1">
        <f t="array" ref="X58">$H58 *
IF(ISNUMBER(SEARCH("Rapid",$L58)),7/6,1) *
IF(OR(ISNUMBER(SEARCH("Beam",$L58)),ISNUMBER(SEARCH("Firestorm",$L58))),1, IF(ISNUMBER(SEARCH("Blast",$L58)),(4+$F58+(2-$F58)*0.5)/6*2,(4+$F58)/6)) *
IF(ISNUMBER(SEARCH("Fusion",$L58)), _xlfn.IFS(X$24-$I58 &lt;=1, 9/10, X$24-$I58 &lt;=10,(11-(X$24-$I58))/10, X$24-$I58 &gt;=11, 0),
_xlfn.IFS(X$24-$I58 &lt;=1, 5/6, X$24-$I58 &lt;=5, (7-(X$24-$I58))/6, AND(X$24-$I58 =6,NOT(_xlfn.IFNA(ISNUMBER(SEARCH("Rending",$L58)),FALSE))), (7-(X$24-$I58))/6, AND(X$24-$I58 &gt;=7,NOT(_xlfn.IFNA(ISNUMBER(SEARCH("Rending",$L58)),FALSE))), 0, X$24-$I58 =7, (7-(X$24-1-$I58))/6, X$24-$I58 =8, (7-(X$24-2-$I58))/6*2/3, X$24-$I58 =9, (7-(X$24-3-$I58))/6*1/3, TRUE, 0)) *
IF(ISNUMBER(SEARCH("Ordinance",$L58)),7/6,1) *
IF(OR(ISNUMBER(SEARCH("Melee",$L58)),ISNUMBER(SEARCH("Bypass",$L58))),1.5,1)</f>
        <v>2.0833333333333335</v>
      </c>
      <c r="Y58" s="17" cm="1">
        <f t="array" ref="Y58">$H58 *
IF(ISNUMBER(SEARCH("Rapid",$L58)),7/6,1) *
IF(OR(ISNUMBER(SEARCH("Beam",$L58)),ISNUMBER(SEARCH("Firestorm",$L58))),1, IF(ISNUMBER(SEARCH("Blast",$L58)),(4+$F58+(2-$F58)*0.5)/6*2,(4+$F58)/6)) *
IF(ISNUMBER(SEARCH("Fusion",$L58)), _xlfn.IFS(Y$24-$I58 &lt;=1, 9/10, Y$24-$I58 &lt;=10,(11-(Y$24-$I58))/10, Y$24-$I58 &gt;=11, 0),
_xlfn.IFS(Y$24-$I58 &lt;=1, 5/6, Y$24-$I58 &lt;=5, (7-(Y$24-$I58))/6, AND(Y$24-$I58 =6,NOT(_xlfn.IFNA(ISNUMBER(SEARCH("Rending",$L58)),FALSE))), (7-(Y$24-$I58))/6, AND(Y$24-$I58 &gt;=7,NOT(_xlfn.IFNA(ISNUMBER(SEARCH("Rending",$L58)),FALSE))), 0, Y$24-$I58 =7, (7-(Y$24-1-$I58))/6, Y$24-$I58 =8, (7-(Y$24-2-$I58))/6*2/3, Y$24-$I58 =9, (7-(Y$24-3-$I58))/6*1/3, TRUE, 0)) *
IF(ISNUMBER(SEARCH("Ordinance",$L58)),7/6,1) *
IF(OR(ISNUMBER(SEARCH("Melee",$L58)),ISNUMBER(SEARCH("Bypass",$L58))),1.5,1)</f>
        <v>2.0833333333333335</v>
      </c>
      <c r="Z58" s="17" cm="1">
        <f t="array" ref="Z58">$H58 *
IF(ISNUMBER(SEARCH("Rapid",$L58)),7/6,1) *
IF(OR(ISNUMBER(SEARCH("Beam",$L58)),ISNUMBER(SEARCH("Firestorm",$L58))),1, IF(ISNUMBER(SEARCH("Blast",$L58)),(4+$F58+(2-$F58)*0.5)/6*2,(4+$F58)/6)) *
IF(ISNUMBER(SEARCH("Fusion",$L58)), _xlfn.IFS(Z$24-$I58 &lt;=1, 9/10, Z$24-$I58 &lt;=10,(11-(Z$24-$I58))/10, Z$24-$I58 &gt;=11, 0),
_xlfn.IFS(Z$24-$I58 &lt;=1, 5/6, Z$24-$I58 &lt;=5, (7-(Z$24-$I58))/6, AND(Z$24-$I58 =6,NOT(_xlfn.IFNA(ISNUMBER(SEARCH("Rending",$L58)),FALSE))), (7-(Z$24-$I58))/6, AND(Z$24-$I58 &gt;=7,NOT(_xlfn.IFNA(ISNUMBER(SEARCH("Rending",$L58)),FALSE))), 0, Z$24-$I58 =7, (7-(Z$24-1-$I58))/6, Z$24-$I58 =8, (7-(Z$24-2-$I58))/6*2/3, Z$24-$I58 =9, (7-(Z$24-3-$I58))/6*1/3, TRUE, 0)) *
IF(ISNUMBER(SEARCH("Ordinance",$L58)),7/6,1) *
IF(OR(ISNUMBER(SEARCH("Melee",$L58)),ISNUMBER(SEARCH("Bypass",$L58))),1.5,1)</f>
        <v>2.0833333333333335</v>
      </c>
      <c r="AA58" s="17" cm="1">
        <f t="array" ref="AA58">$H58 *
IF(ISNUMBER(SEARCH("Rapid",$L58)),7/6,1) *
IF(OR(ISNUMBER(SEARCH("Beam",$L58)),ISNUMBER(SEARCH("Firestorm",$L58))),1, IF(ISNUMBER(SEARCH("Blast",$L58)),(4+$F58+(2-$F58)*0.5)/6*2,(4+$F58)/6)) *
IF(ISNUMBER(SEARCH("Fusion",$L58)), _xlfn.IFS(AA$24-$I58 &lt;=1, 9/10, AA$24-$I58 &lt;=10,(11-(AA$24-$I58))/10, AA$24-$I58 &gt;=11, 0),
_xlfn.IFS(AA$24-$I58 &lt;=1, 5/6, AA$24-$I58 &lt;=5, (7-(AA$24-$I58))/6, AND(AA$24-$I58 =6,NOT(_xlfn.IFNA(ISNUMBER(SEARCH("Rending",$L58)),FALSE))), (7-(AA$24-$I58))/6, AND(AA$24-$I58 &gt;=7,NOT(_xlfn.IFNA(ISNUMBER(SEARCH("Rending",$L58)),FALSE))), 0, AA$24-$I58 =7, (7-(AA$24-1-$I58))/6, AA$24-$I58 =8, (7-(AA$24-2-$I58))/6*2/3, AA$24-$I58 =9, (7-(AA$24-3-$I58))/6*1/3, TRUE, 0)) *
IF(ISNUMBER(SEARCH("Ordinance",$L58)),7/6,1) *
IF(OR(ISNUMBER(SEARCH("Melee",$L58)),ISNUMBER(SEARCH("Bypass",$L58))),1.5,1)</f>
        <v>1.6666666666666667</v>
      </c>
      <c r="AB58" s="17" cm="1">
        <f t="array" ref="AB58">$H58 *
IF(ISNUMBER(SEARCH("Rapid",$L58)),7/6,1) *
IF(OR(ISNUMBER(SEARCH("Beam",$L58)),ISNUMBER(SEARCH("Firestorm",$L58))),1, IF(ISNUMBER(SEARCH("Blast",$L58)),(4+$F58+(2-$F58)*0.5)/6*2,(4+$F58)/6)) *
IF(ISNUMBER(SEARCH("Fusion",$L58)), _xlfn.IFS(AB$24-$I58 &lt;=1, 9/10, AB$24-$I58 &lt;=10,(11-(AB$24-$I58))/10, AB$24-$I58 &gt;=11, 0),
_xlfn.IFS(AB$24-$I58 &lt;=1, 5/6, AB$24-$I58 &lt;=5, (7-(AB$24-$I58))/6, AND(AB$24-$I58 =6,NOT(_xlfn.IFNA(ISNUMBER(SEARCH("Rending",$L58)),FALSE))), (7-(AB$24-$I58))/6, AND(AB$24-$I58 &gt;=7,NOT(_xlfn.IFNA(ISNUMBER(SEARCH("Rending",$L58)),FALSE))), 0, AB$24-$I58 =7, (7-(AB$24-1-$I58))/6, AB$24-$I58 =8, (7-(AB$24-2-$I58))/6*2/3, AB$24-$I58 =9, (7-(AB$24-3-$I58))/6*1/3, TRUE, 0)) *
IF(ISNUMBER(SEARCH("Ordinance",$L58)),7/6,1) *
IF(OR(ISNUMBER(SEARCH("Melee",$L58)),ISNUMBER(SEARCH("Bypass",$L58))),1.5,1)</f>
        <v>1.25</v>
      </c>
      <c r="AC58" s="17" cm="1">
        <f t="array" ref="AC58">$H58 *
IF(ISNUMBER(SEARCH("Rapid",$L58)),7/6,1) *
IF(OR(ISNUMBER(SEARCH("Beam",$L58)),ISNUMBER(SEARCH("Firestorm",$L58))),1, IF(ISNUMBER(SEARCH("Blast",$L58)),(4+$F58+(2-$F58)*0.5)/6*2,(4+$F58)/6)) *
IF(ISNUMBER(SEARCH("Fusion",$L58)), _xlfn.IFS(AC$24-$I58 &lt;=1, 9/10, AC$24-$I58 &lt;=10,(11-(AC$24-$I58))/10, AC$24-$I58 &gt;=11, 0),
_xlfn.IFS(AC$24-$I58 &lt;=1, 5/6, AC$24-$I58 &lt;=5, (7-(AC$24-$I58))/6, AND(AC$24-$I58 =6,NOT(_xlfn.IFNA(ISNUMBER(SEARCH("Rending",$L58)),FALSE))), (7-(AC$24-$I58))/6, AND(AC$24-$I58 &gt;=7,NOT(_xlfn.IFNA(ISNUMBER(SEARCH("Rending",$L58)),FALSE))), 0, AC$24-$I58 =7, (7-(AC$24-1-$I58))/6, AC$24-$I58 =8, (7-(AC$24-2-$I58))/6*2/3, AC$24-$I58 =9, (7-(AC$24-3-$I58))/6*1/3, TRUE, 0)) *
IF(ISNUMBER(SEARCH("Ordinance",$L58)),7/6,1) *
IF(OR(ISNUMBER(SEARCH("Melee",$L58)),ISNUMBER(SEARCH("Bypass",$L58))),1.5,1)</f>
        <v>0.83333333333333337</v>
      </c>
      <c r="AD58" s="17" cm="1">
        <f t="array" ref="AD58">$H58 *
IF(ISNUMBER(SEARCH("Rapid",$L58)),7/6,1) *
IF(OR(ISNUMBER(SEARCH("Beam",$L58)),ISNUMBER(SEARCH("Firestorm",$L58))),1, IF(ISNUMBER(SEARCH("Blast",$L58)),(4+$F58+(2-$F58)*0.5)/6*2,(4+$F58)/6)) *
IF(ISNUMBER(SEARCH("Fusion",$L58)), _xlfn.IFS(AD$24-$I58 &lt;=1, 9/10, AD$24-$I58 &lt;=10,(11-(AD$24-$I58))/10, AD$24-$I58 &gt;=11, 0),
_xlfn.IFS(AD$24-$I58 &lt;=1, 5/6, AD$24-$I58 &lt;=5, (7-(AD$24-$I58))/6, AND(AD$24-$I58 =6,NOT(_xlfn.IFNA(ISNUMBER(SEARCH("Rending",$L58)),FALSE))), (7-(AD$24-$I58))/6, AND(AD$24-$I58 &gt;=7,NOT(_xlfn.IFNA(ISNUMBER(SEARCH("Rending",$L58)),FALSE))), 0, AD$24-$I58 =7, (7-(AD$24-1-$I58))/6, AD$24-$I58 =8, (7-(AD$24-2-$I58))/6*2/3, AD$24-$I58 =9, (7-(AD$24-3-$I58))/6*1/3, TRUE, 0)) *
IF(ISNUMBER(SEARCH("Ordinance",$L58)),7/6,1) *
IF(OR(ISNUMBER(SEARCH("Melee",$L58)),ISNUMBER(SEARCH("Bypass",$L58))),1.5,1)</f>
        <v>0.41666666666666669</v>
      </c>
      <c r="AE58" s="17" cm="1">
        <f t="array" ref="AE58">$H58 *
IF(ISNUMBER(SEARCH("Rapid",$L58)),7/6,1) *
IF(OR(ISNUMBER(SEARCH("Beam",$L58)),ISNUMBER(SEARCH("Firestorm",$L58))),1, IF(ISNUMBER(SEARCH("Blast",$L58)),(4+$F58+(2-$F58)*0.5)/6*2,(4+$F58)/6)) *
IF(ISNUMBER(SEARCH("Fusion",$L58)), _xlfn.IFS(AE$24-$I58 &lt;=1, 9/10, AE$24-$I58 &lt;=10,(11-(AE$24-$I58))/10, AE$24-$I58 &gt;=11, 0),
_xlfn.IFS(AE$24-$I58 &lt;=1, 5/6, AE$24-$I58 &lt;=5, (7-(AE$24-$I58))/6, AND(AE$24-$I58 =6,NOT(_xlfn.IFNA(ISNUMBER(SEARCH("Rending",$L58)),FALSE))), (7-(AE$24-$I58))/6, AND(AE$24-$I58 &gt;=7,NOT(_xlfn.IFNA(ISNUMBER(SEARCH("Rending",$L58)),FALSE))), 0, AE$24-$I58 =7, (7-(AE$24-1-$I58))/6, AE$24-$I58 =8, (7-(AE$24-2-$I58))/6*2/3, AE$24-$I58 =9, (7-(AE$24-3-$I58))/6*1/3, TRUE, 0)) *
IF(ISNUMBER(SEARCH("Ordinance",$L58)),7/6,1) *
IF(OR(ISNUMBER(SEARCH("Melee",$L58)),ISNUMBER(SEARCH("Bypass",$L58))),1.5,1)</f>
        <v>0</v>
      </c>
      <c r="AF58" s="17" cm="1">
        <f t="array" ref="AF58">$H58 *
IF(ISNUMBER(SEARCH("Rapid",$L58)),7/6,1) *
IF(OR(ISNUMBER(SEARCH("Beam",$L58)),ISNUMBER(SEARCH("Firestorm",$L58))),1, IF(ISNUMBER(SEARCH("Blast",$L58)),(4+$F58+(2-$F58)*0.5)/6*2,(4+$F58)/6)) *
IF(ISNUMBER(SEARCH("Fusion",$L58)), _xlfn.IFS(AF$24-$I58 &lt;=1, 9/10, AF$24-$I58 &lt;=10,(11-(AF$24-$I58))/10, AF$24-$I58 &gt;=11, 0),
_xlfn.IFS(AF$24-$I58 &lt;=1, 5/6, AF$24-$I58 &lt;=5, (7-(AF$24-$I58))/6, AND(AF$24-$I58 =6,NOT(_xlfn.IFNA(ISNUMBER(SEARCH("Rending",$L58)),FALSE))), (7-(AF$24-$I58))/6, AND(AF$24-$I58 &gt;=7,NOT(_xlfn.IFNA(ISNUMBER(SEARCH("Rending",$L58)),FALSE))), 0, AF$24-$I58 =7, (7-(AF$24-1-$I58))/6, AF$24-$I58 =8, (7-(AF$24-2-$I58))/6*2/3, AF$24-$I58 =9, (7-(AF$24-3-$I58))/6*1/3, TRUE, 0)) *
IF(ISNUMBER(SEARCH("Ordinance",$L58)),7/6,1) *
IF(OR(ISNUMBER(SEARCH("Melee",$L58)),ISNUMBER(SEARCH("Bypass",$L58))),1.5,1)</f>
        <v>0</v>
      </c>
      <c r="AG58" s="16">
        <f t="shared" si="3"/>
        <v>0</v>
      </c>
      <c r="AH58" s="16">
        <f t="shared" si="4"/>
        <v>0</v>
      </c>
      <c r="AI58" s="17" cm="1">
        <f t="array" ref="AI58">$H58 *
IF(ISNUMBER(SEARCH("Rapid",$L58)),7/6,1) *
IF(OR(ISNUMBER(SEARCH("Beam",$L58)),ISNUMBER(SEARCH("Firestorm",$L58))),1, IF(ISNUMBER(SEARCH("Blast",$L58)),(4+$G58+(2-$G58)*0.5)/6*2,(4+$G58)/6)) *
_xlfn.IFS(AI$24-$I58 &lt;=1, 5/6, AI$24-$I58 &lt;=5, (7-(AI$24-$I58))/6, AND(AI$24-$I58 =6,NOT(_xlfn.IFNA(ISNUMBER(SEARCH("Rending",$L58)),FALSE))), (7-(AI$24-$I58))/6, AND(AI$24-$I58 &gt;=7,NOT(_xlfn.IFNA(ISNUMBER(SEARCH("Rending",$L58)),FALSE))), 0, AI$24-$I58 =7, (7-(AI$24-1-$I58))/6, AI$24-$I58 =8, (7-(AI$24-2-$I58))/6*2/3, AI$24-$I58 =9, (7-(AI$24-3-$I58))/6*1/3, TRUE, 0) *
IF(ISNUMBER(SEARCH("Ordinance",$L58)),7/6,1) *
IF(OR(ISNUMBER(SEARCH("Melee",$L58)),ISNUMBER(SEARCH("Bypass",$L58))),1.5,1)</f>
        <v>1.6666666666666667</v>
      </c>
      <c r="AJ58" s="17" cm="1">
        <f t="array" ref="AJ58">$H58 *
IF(ISNUMBER(SEARCH("Rapid",$L58)),7/6,1) *
IF(OR(ISNUMBER(SEARCH("Beam",$L58)),ISNUMBER(SEARCH("Firestorm",$L58))),1, IF(ISNUMBER(SEARCH("Blast",$L58)),(4+$G58+(2-$G58)*0.5)/6*2,(4+$G58)/6)) *
_xlfn.IFS(AJ$24-$I58 &lt;=1, 5/6, AJ$24-$I58 &lt;=5, (7-(AJ$24-$I58))/6, AND(AJ$24-$I58 =6,NOT(_xlfn.IFNA(ISNUMBER(SEARCH("Rending",$L58)),FALSE))), (7-(AJ$24-$I58))/6, AND(AJ$24-$I58 &gt;=7,NOT(_xlfn.IFNA(ISNUMBER(SEARCH("Rending",$L58)),FALSE))), 0, AJ$24-$I58 =7, (7-(AJ$24-1-$I58))/6, AJ$24-$I58 =8, (7-(AJ$24-2-$I58))/6*2/3, AJ$24-$I58 =9, (7-(AJ$24-3-$I58))/6*1/3, TRUE, 0) *
IF(ISNUMBER(SEARCH("Ordinance",$L58)),7/6,1) *
IF(OR(ISNUMBER(SEARCH("Melee",$L58)),ISNUMBER(SEARCH("Bypass",$L58))),1.5,1)</f>
        <v>1.6666666666666667</v>
      </c>
      <c r="AK58" s="17" cm="1">
        <f t="array" ref="AK58">$H58 *
IF(ISNUMBER(SEARCH("Rapid",$L58)),7/6,1) *
IF(OR(ISNUMBER(SEARCH("Beam",$L58)),ISNUMBER(SEARCH("Firestorm",$L58))),1, IF(ISNUMBER(SEARCH("Blast",$L58)),(4+$G58+(2-$G58)*0.5)/6*2,(4+$G58)/6)) *
_xlfn.IFS(AK$24-$I58 &lt;=1, 5/6, AK$24-$I58 &lt;=5, (7-(AK$24-$I58))/6, AND(AK$24-$I58 =6,NOT(_xlfn.IFNA(ISNUMBER(SEARCH("Rending",$L58)),FALSE))), (7-(AK$24-$I58))/6, AND(AK$24-$I58 &gt;=7,NOT(_xlfn.IFNA(ISNUMBER(SEARCH("Rending",$L58)),FALSE))), 0, AK$24-$I58 =7, (7-(AK$24-1-$I58))/6, AK$24-$I58 =8, (7-(AK$24-2-$I58))/6*2/3, AK$24-$I58 =9, (7-(AK$24-3-$I58))/6*1/3, TRUE, 0) *
IF(ISNUMBER(SEARCH("Ordinance",$L58)),7/6,1) *
IF(OR(ISNUMBER(SEARCH("Melee",$L58)),ISNUMBER(SEARCH("Bypass",$L58))),1.5,1)</f>
        <v>1.6666666666666667</v>
      </c>
      <c r="AL58" s="17" cm="1">
        <f t="array" ref="AL58">$H58 *
IF(ISNUMBER(SEARCH("Rapid",$L58)),7/6,1) *
IF(OR(ISNUMBER(SEARCH("Beam",$L58)),ISNUMBER(SEARCH("Firestorm",$L58))),1, IF(ISNUMBER(SEARCH("Blast",$L58)),(4+$G58+(2-$G58)*0.5)/6*2,(4+$G58)/6)) *
_xlfn.IFS(AL$24-$I58 &lt;=1, 5/6, AL$24-$I58 &lt;=5, (7-(AL$24-$I58))/6, AND(AL$24-$I58 =6,NOT(_xlfn.IFNA(ISNUMBER(SEARCH("Rending",$L58)),FALSE))), (7-(AL$24-$I58))/6, AND(AL$24-$I58 &gt;=7,NOT(_xlfn.IFNA(ISNUMBER(SEARCH("Rending",$L58)),FALSE))), 0, AL$24-$I58 =7, (7-(AL$24-1-$I58))/6, AL$24-$I58 =8, (7-(AL$24-2-$I58))/6*2/3, AL$24-$I58 =9, (7-(AL$24-3-$I58))/6*1/3, TRUE, 0) *
IF(ISNUMBER(SEARCH("Ordinance",$L58)),7/6,1) *
IF(OR(ISNUMBER(SEARCH("Melee",$L58)),ISNUMBER(SEARCH("Bypass",$L58))),1.5,1)</f>
        <v>1.3333333333333333</v>
      </c>
      <c r="AM58" s="17" cm="1">
        <f t="array" ref="AM58">$H58 *
IF(ISNUMBER(SEARCH("Rapid",$L58)),7/6,1) *
IF(OR(ISNUMBER(SEARCH("Beam",$L58)),ISNUMBER(SEARCH("Firestorm",$L58))),1, IF(ISNUMBER(SEARCH("Blast",$L58)),(4+$G58+(2-$G58)*0.5)/6*2,(4+$G58)/6)) *
_xlfn.IFS(AM$24-$I58 &lt;=1, 5/6, AM$24-$I58 &lt;=5, (7-(AM$24-$I58))/6, AND(AM$24-$I58 =6,NOT(_xlfn.IFNA(ISNUMBER(SEARCH("Rending",$L58)),FALSE))), (7-(AM$24-$I58))/6, AND(AM$24-$I58 &gt;=7,NOT(_xlfn.IFNA(ISNUMBER(SEARCH("Rending",$L58)),FALSE))), 0, AM$24-$I58 =7, (7-(AM$24-1-$I58))/6, AM$24-$I58 =8, (7-(AM$24-2-$I58))/6*2/3, AM$24-$I58 =9, (7-(AM$24-3-$I58))/6*1/3, TRUE, 0) *
IF(ISNUMBER(SEARCH("Ordinance",$L58)),7/6,1) *
IF(OR(ISNUMBER(SEARCH("Melee",$L58)),ISNUMBER(SEARCH("Bypass",$L58))),1.5,1)</f>
        <v>1</v>
      </c>
      <c r="AN58" s="17" cm="1">
        <f t="array" ref="AN58">$H58 *
IF(ISNUMBER(SEARCH("Rapid",$L58)),7/6,1) *
IF(OR(ISNUMBER(SEARCH("Beam",$L58)),ISNUMBER(SEARCH("Firestorm",$L58))),1, IF(ISNUMBER(SEARCH("Blast",$L58)),(4+$G58+(2-$G58)*0.5)/6*2,(4+$G58)/6)) *
_xlfn.IFS(AN$24-$I58 &lt;=1, 5/6, AN$24-$I58 &lt;=5, (7-(AN$24-$I58))/6, AND(AN$24-$I58 =6,NOT(_xlfn.IFNA(ISNUMBER(SEARCH("Rending",$L58)),FALSE))), (7-(AN$24-$I58))/6, AND(AN$24-$I58 &gt;=7,NOT(_xlfn.IFNA(ISNUMBER(SEARCH("Rending",$L58)),FALSE))), 0, AN$24-$I58 =7, (7-(AN$24-1-$I58))/6, AN$24-$I58 =8, (7-(AN$24-2-$I58))/6*2/3, AN$24-$I58 =9, (7-(AN$24-3-$I58))/6*1/3, TRUE, 0) *
IF(ISNUMBER(SEARCH("Ordinance",$L58)),7/6,1) *
IF(OR(ISNUMBER(SEARCH("Melee",$L58)),ISNUMBER(SEARCH("Bypass",$L58))),1.5,1)</f>
        <v>0.66666666666666663</v>
      </c>
      <c r="AO58" s="17" cm="1">
        <f t="array" ref="AO58">$H58 *
IF(ISNUMBER(SEARCH("Rapid",$L58)),7/6,1) *
IF(OR(ISNUMBER(SEARCH("Beam",$L58)),ISNUMBER(SEARCH("Firestorm",$L58))),1, IF(ISNUMBER(SEARCH("Blast",$L58)),(4+$G58+(2-$G58)*0.5)/6*2,(4+$G58)/6)) *
_xlfn.IFS(AO$24-$I58 &lt;=1, 5/6, AO$24-$I58 &lt;=5, (7-(AO$24-$I58))/6, AND(AO$24-$I58 =6,NOT(_xlfn.IFNA(ISNUMBER(SEARCH("Rending",$L58)),FALSE))), (7-(AO$24-$I58))/6, AND(AO$24-$I58 &gt;=7,NOT(_xlfn.IFNA(ISNUMBER(SEARCH("Rending",$L58)),FALSE))), 0, AO$24-$I58 =7, (7-(AO$24-1-$I58))/6, AO$24-$I58 =8, (7-(AO$24-2-$I58))/6*2/3, AO$24-$I58 =9, (7-(AO$24-3-$I58))/6*1/3, TRUE, 0) *
IF(ISNUMBER(SEARCH("Ordinance",$L58)),7/6,1) *
IF(OR(ISNUMBER(SEARCH("Melee",$L58)),ISNUMBER(SEARCH("Bypass",$L58))),1.5,1)</f>
        <v>0.33333333333333331</v>
      </c>
      <c r="AP58" s="17" cm="1">
        <f t="array" ref="AP58">$H58 *
IF(ISNUMBER(SEARCH("Rapid",$L58)),7/6,1) *
IF(OR(ISNUMBER(SEARCH("Beam",$L58)),ISNUMBER(SEARCH("Firestorm",$L58))),1, IF(ISNUMBER(SEARCH("Blast",$L58)),(4+$G58+(2-$G58)*0.5)/6*2,(4+$G58)/6)) *
_xlfn.IFS(AP$24-$I58 &lt;=1, 5/6, AP$24-$I58 &lt;=5, (7-(AP$24-$I58))/6, AND(AP$24-$I58 =6,NOT(_xlfn.IFNA(ISNUMBER(SEARCH("Rending",$L58)),FALSE))), (7-(AP$24-$I58))/6, AND(AP$24-$I58 &gt;=7,NOT(_xlfn.IFNA(ISNUMBER(SEARCH("Rending",$L58)),FALSE))), 0, AP$24-$I58 =7, (7-(AP$24-1-$I58))/6, AP$24-$I58 =8, (7-(AP$24-2-$I58))/6*2/3, AP$24-$I58 =9, (7-(AP$24-3-$I58))/6*1/3, TRUE, 0) *
IF(ISNUMBER(SEARCH("Ordinance",$L58)),7/6,1) *
IF(OR(ISNUMBER(SEARCH("Melee",$L58)),ISNUMBER(SEARCH("Bypass",$L58))),1.5,1)</f>
        <v>0</v>
      </c>
      <c r="AQ58" s="17" cm="1">
        <f t="array" ref="AQ58">$H58 *
IF(ISNUMBER(SEARCH("Rapid",$L58)),7/6,1) *
IF(OR(ISNUMBER(SEARCH("Beam",$L58)),ISNUMBER(SEARCH("Firestorm",$L58))),1, IF(ISNUMBER(SEARCH("Blast",$L58)),(4+$G58+(2-$G58)*0.5)/6*2,(4+$G58)/6)) *
_xlfn.IFS(AQ$24-$I58 &lt;=1, 5/6, AQ$24-$I58 &lt;=5, (7-(AQ$24-$I58))/6, AND(AQ$24-$I58 =6,NOT(_xlfn.IFNA(ISNUMBER(SEARCH("Rending",$L58)),FALSE))), (7-(AQ$24-$I58))/6, AND(AQ$24-$I58 &gt;=7,NOT(_xlfn.IFNA(ISNUMBER(SEARCH("Rending",$L58)),FALSE))), 0, AQ$24-$I58 =7, (7-(AQ$24-1-$I58))/6, AQ$24-$I58 =8, (7-(AQ$24-2-$I58))/6*2/3, AQ$24-$I58 =9, (7-(AQ$24-3-$I58))/6*1/3, TRUE, 0) *
IF(ISNUMBER(SEARCH("Ordinance",$L58)),7/6,1) *
IF(OR(ISNUMBER(SEARCH("Melee",$L58)),ISNUMBER(SEARCH("Bypass",$L58))),1.5,1)</f>
        <v>0</v>
      </c>
      <c r="AS58" s="16">
        <f>IF($E58=1,AG58*3,IF($E58=2,2*AG58,1.1*AG58))</f>
        <v>0</v>
      </c>
      <c r="AT58" s="16">
        <f>IF($E58=1,AH58*3,IF($E58=2,2*AH58,1.1*AH58))</f>
        <v>0</v>
      </c>
      <c r="AU58" s="16">
        <f t="shared" si="9"/>
        <v>0.4861111111111111</v>
      </c>
      <c r="AV58" s="2">
        <v>11</v>
      </c>
    </row>
    <row r="59" spans="1:48" x14ac:dyDescent="0.3">
      <c r="A59" t="s">
        <v>136</v>
      </c>
      <c r="B59" s="3">
        <v>16</v>
      </c>
      <c r="C59" s="3">
        <v>32</v>
      </c>
      <c r="D59" s="3">
        <v>2</v>
      </c>
      <c r="E59" s="3">
        <v>1</v>
      </c>
      <c r="F59" s="10"/>
      <c r="G59" s="10">
        <v>-1</v>
      </c>
      <c r="H59" s="3">
        <v>3</v>
      </c>
      <c r="I59" s="3">
        <v>8</v>
      </c>
      <c r="J59" s="3" t="s">
        <v>216</v>
      </c>
      <c r="K59" s="3">
        <v>25</v>
      </c>
      <c r="L59" s="3" t="s">
        <v>201</v>
      </c>
      <c r="M59" s="3" t="s">
        <v>199</v>
      </c>
      <c r="N59" s="3">
        <v>10</v>
      </c>
      <c r="O59" s="3">
        <v>10</v>
      </c>
      <c r="P59" s="3">
        <v>14</v>
      </c>
      <c r="Q59" s="3" t="s">
        <v>200</v>
      </c>
      <c r="R59" s="3">
        <v>7</v>
      </c>
      <c r="S59" s="3">
        <v>9</v>
      </c>
      <c r="T59" s="3">
        <v>4</v>
      </c>
      <c r="V59" s="16">
        <f t="shared" si="1"/>
        <v>1</v>
      </c>
      <c r="W59" s="16">
        <f t="shared" si="2"/>
        <v>1.3333333333333333</v>
      </c>
      <c r="X59" s="17" cm="1">
        <f t="array" ref="X59">$H59 *
IF(ISNUMBER(SEARCH("Rapid",$L59)),7/6,1) *
IF(OR(ISNUMBER(SEARCH("Beam",$L59)),ISNUMBER(SEARCH("Firestorm",$L59))),1, IF(ISNUMBER(SEARCH("Blast",$L59)),(4+$F59+(2-$F59)*0.5)/6*2,(4+$F59)/6)) *
IF(ISNUMBER(SEARCH("Fusion",$L59)), _xlfn.IFS(X$24-$I59 &lt;=1, 9/10, X$24-$I59 &lt;=10,(11-(X$24-$I59))/10, X$24-$I59 &gt;=11, 0),
_xlfn.IFS(X$24-$I59 &lt;=1, 5/6, X$24-$I59 &lt;=5, (7-(X$24-$I59))/6, AND(X$24-$I59 =6,NOT(_xlfn.IFNA(ISNUMBER(SEARCH("Rending",$L59)),FALSE))), (7-(X$24-$I59))/6, AND(X$24-$I59 &gt;=7,NOT(_xlfn.IFNA(ISNUMBER(SEARCH("Rending",$L59)),FALSE))), 0, X$24-$I59 =7, (7-(X$24-1-$I59))/6, X$24-$I59 =8, (7-(X$24-2-$I59))/6*2/3, X$24-$I59 =9, (7-(X$24-3-$I59))/6*1/3, TRUE, 0)) *
IF(ISNUMBER(SEARCH("Ordinance",$L59)),7/6,1) *
IF(OR(ISNUMBER(SEARCH("Melee",$L59)),ISNUMBER(SEARCH("Bypass",$L59))),1.5,1)</f>
        <v>1.6666666666666667</v>
      </c>
      <c r="Y59" s="17" cm="1">
        <f t="array" ref="Y59">$H59 *
IF(ISNUMBER(SEARCH("Rapid",$L59)),7/6,1) *
IF(OR(ISNUMBER(SEARCH("Beam",$L59)),ISNUMBER(SEARCH("Firestorm",$L59))),1, IF(ISNUMBER(SEARCH("Blast",$L59)),(4+$F59+(2-$F59)*0.5)/6*2,(4+$F59)/6)) *
IF(ISNUMBER(SEARCH("Fusion",$L59)), _xlfn.IFS(Y$24-$I59 &lt;=1, 9/10, Y$24-$I59 &lt;=10,(11-(Y$24-$I59))/10, Y$24-$I59 &gt;=11, 0),
_xlfn.IFS(Y$24-$I59 &lt;=1, 5/6, Y$24-$I59 &lt;=5, (7-(Y$24-$I59))/6, AND(Y$24-$I59 =6,NOT(_xlfn.IFNA(ISNUMBER(SEARCH("Rending",$L59)),FALSE))), (7-(Y$24-$I59))/6, AND(Y$24-$I59 &gt;=7,NOT(_xlfn.IFNA(ISNUMBER(SEARCH("Rending",$L59)),FALSE))), 0, Y$24-$I59 =7, (7-(Y$24-1-$I59))/6, Y$24-$I59 =8, (7-(Y$24-2-$I59))/6*2/3, Y$24-$I59 =9, (7-(Y$24-3-$I59))/6*1/3, TRUE, 0)) *
IF(ISNUMBER(SEARCH("Ordinance",$L59)),7/6,1) *
IF(OR(ISNUMBER(SEARCH("Melee",$L59)),ISNUMBER(SEARCH("Bypass",$L59))),1.5,1)</f>
        <v>1.6666666666666667</v>
      </c>
      <c r="Z59" s="17" cm="1">
        <f t="array" ref="Z59">$H59 *
IF(ISNUMBER(SEARCH("Rapid",$L59)),7/6,1) *
IF(OR(ISNUMBER(SEARCH("Beam",$L59)),ISNUMBER(SEARCH("Firestorm",$L59))),1, IF(ISNUMBER(SEARCH("Blast",$L59)),(4+$F59+(2-$F59)*0.5)/6*2,(4+$F59)/6)) *
IF(ISNUMBER(SEARCH("Fusion",$L59)), _xlfn.IFS(Z$24-$I59 &lt;=1, 9/10, Z$24-$I59 &lt;=10,(11-(Z$24-$I59))/10, Z$24-$I59 &gt;=11, 0),
_xlfn.IFS(Z$24-$I59 &lt;=1, 5/6, Z$24-$I59 &lt;=5, (7-(Z$24-$I59))/6, AND(Z$24-$I59 =6,NOT(_xlfn.IFNA(ISNUMBER(SEARCH("Rending",$L59)),FALSE))), (7-(Z$24-$I59))/6, AND(Z$24-$I59 &gt;=7,NOT(_xlfn.IFNA(ISNUMBER(SEARCH("Rending",$L59)),FALSE))), 0, Z$24-$I59 =7, (7-(Z$24-1-$I59))/6, Z$24-$I59 =8, (7-(Z$24-2-$I59))/6*2/3, Z$24-$I59 =9, (7-(Z$24-3-$I59))/6*1/3, TRUE, 0)) *
IF(ISNUMBER(SEARCH("Ordinance",$L59)),7/6,1) *
IF(OR(ISNUMBER(SEARCH("Melee",$L59)),ISNUMBER(SEARCH("Bypass",$L59))),1.5,1)</f>
        <v>1.3333333333333333</v>
      </c>
      <c r="AA59" s="17" cm="1">
        <f t="array" ref="AA59">$H59 *
IF(ISNUMBER(SEARCH("Rapid",$L59)),7/6,1) *
IF(OR(ISNUMBER(SEARCH("Beam",$L59)),ISNUMBER(SEARCH("Firestorm",$L59))),1, IF(ISNUMBER(SEARCH("Blast",$L59)),(4+$F59+(2-$F59)*0.5)/6*2,(4+$F59)/6)) *
IF(ISNUMBER(SEARCH("Fusion",$L59)), _xlfn.IFS(AA$24-$I59 &lt;=1, 9/10, AA$24-$I59 &lt;=10,(11-(AA$24-$I59))/10, AA$24-$I59 &gt;=11, 0),
_xlfn.IFS(AA$24-$I59 &lt;=1, 5/6, AA$24-$I59 &lt;=5, (7-(AA$24-$I59))/6, AND(AA$24-$I59 =6,NOT(_xlfn.IFNA(ISNUMBER(SEARCH("Rending",$L59)),FALSE))), (7-(AA$24-$I59))/6, AND(AA$24-$I59 &gt;=7,NOT(_xlfn.IFNA(ISNUMBER(SEARCH("Rending",$L59)),FALSE))), 0, AA$24-$I59 =7, (7-(AA$24-1-$I59))/6, AA$24-$I59 =8, (7-(AA$24-2-$I59))/6*2/3, AA$24-$I59 =9, (7-(AA$24-3-$I59))/6*1/3, TRUE, 0)) *
IF(ISNUMBER(SEARCH("Ordinance",$L59)),7/6,1) *
IF(OR(ISNUMBER(SEARCH("Melee",$L59)),ISNUMBER(SEARCH("Bypass",$L59))),1.5,1)</f>
        <v>1</v>
      </c>
      <c r="AB59" s="17" cm="1">
        <f t="array" ref="AB59">$H59 *
IF(ISNUMBER(SEARCH("Rapid",$L59)),7/6,1) *
IF(OR(ISNUMBER(SEARCH("Beam",$L59)),ISNUMBER(SEARCH("Firestorm",$L59))),1, IF(ISNUMBER(SEARCH("Blast",$L59)),(4+$F59+(2-$F59)*0.5)/6*2,(4+$F59)/6)) *
IF(ISNUMBER(SEARCH("Fusion",$L59)), _xlfn.IFS(AB$24-$I59 &lt;=1, 9/10, AB$24-$I59 &lt;=10,(11-(AB$24-$I59))/10, AB$24-$I59 &gt;=11, 0),
_xlfn.IFS(AB$24-$I59 &lt;=1, 5/6, AB$24-$I59 &lt;=5, (7-(AB$24-$I59))/6, AND(AB$24-$I59 =6,NOT(_xlfn.IFNA(ISNUMBER(SEARCH("Rending",$L59)),FALSE))), (7-(AB$24-$I59))/6, AND(AB$24-$I59 &gt;=7,NOT(_xlfn.IFNA(ISNUMBER(SEARCH("Rending",$L59)),FALSE))), 0, AB$24-$I59 =7, (7-(AB$24-1-$I59))/6, AB$24-$I59 =8, (7-(AB$24-2-$I59))/6*2/3, AB$24-$I59 =9, (7-(AB$24-3-$I59))/6*1/3, TRUE, 0)) *
IF(ISNUMBER(SEARCH("Ordinance",$L59)),7/6,1) *
IF(OR(ISNUMBER(SEARCH("Melee",$L59)),ISNUMBER(SEARCH("Bypass",$L59))),1.5,1)</f>
        <v>0.66666666666666663</v>
      </c>
      <c r="AC59" s="17" cm="1">
        <f t="array" ref="AC59">$H59 *
IF(ISNUMBER(SEARCH("Rapid",$L59)),7/6,1) *
IF(OR(ISNUMBER(SEARCH("Beam",$L59)),ISNUMBER(SEARCH("Firestorm",$L59))),1, IF(ISNUMBER(SEARCH("Blast",$L59)),(4+$F59+(2-$F59)*0.5)/6*2,(4+$F59)/6)) *
IF(ISNUMBER(SEARCH("Fusion",$L59)), _xlfn.IFS(AC$24-$I59 &lt;=1, 9/10, AC$24-$I59 &lt;=10,(11-(AC$24-$I59))/10, AC$24-$I59 &gt;=11, 0),
_xlfn.IFS(AC$24-$I59 &lt;=1, 5/6, AC$24-$I59 &lt;=5, (7-(AC$24-$I59))/6, AND(AC$24-$I59 =6,NOT(_xlfn.IFNA(ISNUMBER(SEARCH("Rending",$L59)),FALSE))), (7-(AC$24-$I59))/6, AND(AC$24-$I59 &gt;=7,NOT(_xlfn.IFNA(ISNUMBER(SEARCH("Rending",$L59)),FALSE))), 0, AC$24-$I59 =7, (7-(AC$24-1-$I59))/6, AC$24-$I59 =8, (7-(AC$24-2-$I59))/6*2/3, AC$24-$I59 =9, (7-(AC$24-3-$I59))/6*1/3, TRUE, 0)) *
IF(ISNUMBER(SEARCH("Ordinance",$L59)),7/6,1) *
IF(OR(ISNUMBER(SEARCH("Melee",$L59)),ISNUMBER(SEARCH("Bypass",$L59))),1.5,1)</f>
        <v>0.33333333333333331</v>
      </c>
      <c r="AD59" s="17" cm="1">
        <f t="array" ref="AD59">$H59 *
IF(ISNUMBER(SEARCH("Rapid",$L59)),7/6,1) *
IF(OR(ISNUMBER(SEARCH("Beam",$L59)),ISNUMBER(SEARCH("Firestorm",$L59))),1, IF(ISNUMBER(SEARCH("Blast",$L59)),(4+$F59+(2-$F59)*0.5)/6*2,(4+$F59)/6)) *
IF(ISNUMBER(SEARCH("Fusion",$L59)), _xlfn.IFS(AD$24-$I59 &lt;=1, 9/10, AD$24-$I59 &lt;=10,(11-(AD$24-$I59))/10, AD$24-$I59 &gt;=11, 0),
_xlfn.IFS(AD$24-$I59 &lt;=1, 5/6, AD$24-$I59 &lt;=5, (7-(AD$24-$I59))/6, AND(AD$24-$I59 =6,NOT(_xlfn.IFNA(ISNUMBER(SEARCH("Rending",$L59)),FALSE))), (7-(AD$24-$I59))/6, AND(AD$24-$I59 &gt;=7,NOT(_xlfn.IFNA(ISNUMBER(SEARCH("Rending",$L59)),FALSE))), 0, AD$24-$I59 =7, (7-(AD$24-1-$I59))/6, AD$24-$I59 =8, (7-(AD$24-2-$I59))/6*2/3, AD$24-$I59 =9, (7-(AD$24-3-$I59))/6*1/3, TRUE, 0)) *
IF(ISNUMBER(SEARCH("Ordinance",$L59)),7/6,1) *
IF(OR(ISNUMBER(SEARCH("Melee",$L59)),ISNUMBER(SEARCH("Bypass",$L59))),1.5,1)</f>
        <v>0</v>
      </c>
      <c r="AE59" s="17" cm="1">
        <f t="array" ref="AE59">$H59 *
IF(ISNUMBER(SEARCH("Rapid",$L59)),7/6,1) *
IF(OR(ISNUMBER(SEARCH("Beam",$L59)),ISNUMBER(SEARCH("Firestorm",$L59))),1, IF(ISNUMBER(SEARCH("Blast",$L59)),(4+$F59+(2-$F59)*0.5)/6*2,(4+$F59)/6)) *
IF(ISNUMBER(SEARCH("Fusion",$L59)), _xlfn.IFS(AE$24-$I59 &lt;=1, 9/10, AE$24-$I59 &lt;=10,(11-(AE$24-$I59))/10, AE$24-$I59 &gt;=11, 0),
_xlfn.IFS(AE$24-$I59 &lt;=1, 5/6, AE$24-$I59 &lt;=5, (7-(AE$24-$I59))/6, AND(AE$24-$I59 =6,NOT(_xlfn.IFNA(ISNUMBER(SEARCH("Rending",$L59)),FALSE))), (7-(AE$24-$I59))/6, AND(AE$24-$I59 &gt;=7,NOT(_xlfn.IFNA(ISNUMBER(SEARCH("Rending",$L59)),FALSE))), 0, AE$24-$I59 =7, (7-(AE$24-1-$I59))/6, AE$24-$I59 =8, (7-(AE$24-2-$I59))/6*2/3, AE$24-$I59 =9, (7-(AE$24-3-$I59))/6*1/3, TRUE, 0)) *
IF(ISNUMBER(SEARCH("Ordinance",$L59)),7/6,1) *
IF(OR(ISNUMBER(SEARCH("Melee",$L59)),ISNUMBER(SEARCH("Bypass",$L59))),1.5,1)</f>
        <v>0</v>
      </c>
      <c r="AF59" s="17" cm="1">
        <f t="array" ref="AF59">$H59 *
IF(ISNUMBER(SEARCH("Rapid",$L59)),7/6,1) *
IF(OR(ISNUMBER(SEARCH("Beam",$L59)),ISNUMBER(SEARCH("Firestorm",$L59))),1, IF(ISNUMBER(SEARCH("Blast",$L59)),(4+$F59+(2-$F59)*0.5)/6*2,(4+$F59)/6)) *
IF(ISNUMBER(SEARCH("Fusion",$L59)), _xlfn.IFS(AF$24-$I59 &lt;=1, 9/10, AF$24-$I59 &lt;=10,(11-(AF$24-$I59))/10, AF$24-$I59 &gt;=11, 0),
_xlfn.IFS(AF$24-$I59 &lt;=1, 5/6, AF$24-$I59 &lt;=5, (7-(AF$24-$I59))/6, AND(AF$24-$I59 =6,NOT(_xlfn.IFNA(ISNUMBER(SEARCH("Rending",$L59)),FALSE))), (7-(AF$24-$I59))/6, AND(AF$24-$I59 &gt;=7,NOT(_xlfn.IFNA(ISNUMBER(SEARCH("Rending",$L59)),FALSE))), 0, AF$24-$I59 =7, (7-(AF$24-1-$I59))/6, AF$24-$I59 =8, (7-(AF$24-2-$I59))/6*2/3, AF$24-$I59 =9, (7-(AF$24-3-$I59))/6*1/3, TRUE, 0)) *
IF(ISNUMBER(SEARCH("Ordinance",$L59)),7/6,1) *
IF(OR(ISNUMBER(SEARCH("Melee",$L59)),ISNUMBER(SEARCH("Bypass",$L59))),1.5,1)</f>
        <v>0</v>
      </c>
      <c r="AG59" s="16">
        <f t="shared" si="3"/>
        <v>0.75</v>
      </c>
      <c r="AH59" s="16">
        <f t="shared" si="4"/>
        <v>1</v>
      </c>
      <c r="AI59" s="17" cm="1">
        <f t="array" ref="AI59">$H59 *
IF(ISNUMBER(SEARCH("Rapid",$L59)),7/6,1) *
IF(OR(ISNUMBER(SEARCH("Beam",$L59)),ISNUMBER(SEARCH("Firestorm",$L59))),1, IF(ISNUMBER(SEARCH("Blast",$L59)),(4+$G59+(2-$G59)*0.5)/6*2,(4+$G59)/6)) *
_xlfn.IFS(AI$24-$I59 &lt;=1, 5/6, AI$24-$I59 &lt;=5, (7-(AI$24-$I59))/6, AND(AI$24-$I59 =6,NOT(_xlfn.IFNA(ISNUMBER(SEARCH("Rending",$L59)),FALSE))), (7-(AI$24-$I59))/6, AND(AI$24-$I59 &gt;=7,NOT(_xlfn.IFNA(ISNUMBER(SEARCH("Rending",$L59)),FALSE))), 0, AI$24-$I59 =7, (7-(AI$24-1-$I59))/6, AI$24-$I59 =8, (7-(AI$24-2-$I59))/6*2/3, AI$24-$I59 =9, (7-(AI$24-3-$I59))/6*1/3, TRUE, 0) *
IF(ISNUMBER(SEARCH("Ordinance",$L59)),7/6,1) *
IF(OR(ISNUMBER(SEARCH("Melee",$L59)),ISNUMBER(SEARCH("Bypass",$L59))),1.5,1)</f>
        <v>1.25</v>
      </c>
      <c r="AJ59" s="17" cm="1">
        <f t="array" ref="AJ59">$H59 *
IF(ISNUMBER(SEARCH("Rapid",$L59)),7/6,1) *
IF(OR(ISNUMBER(SEARCH("Beam",$L59)),ISNUMBER(SEARCH("Firestorm",$L59))),1, IF(ISNUMBER(SEARCH("Blast",$L59)),(4+$G59+(2-$G59)*0.5)/6*2,(4+$G59)/6)) *
_xlfn.IFS(AJ$24-$I59 &lt;=1, 5/6, AJ$24-$I59 &lt;=5, (7-(AJ$24-$I59))/6, AND(AJ$24-$I59 =6,NOT(_xlfn.IFNA(ISNUMBER(SEARCH("Rending",$L59)),FALSE))), (7-(AJ$24-$I59))/6, AND(AJ$24-$I59 &gt;=7,NOT(_xlfn.IFNA(ISNUMBER(SEARCH("Rending",$L59)),FALSE))), 0, AJ$24-$I59 =7, (7-(AJ$24-1-$I59))/6, AJ$24-$I59 =8, (7-(AJ$24-2-$I59))/6*2/3, AJ$24-$I59 =9, (7-(AJ$24-3-$I59))/6*1/3, TRUE, 0) *
IF(ISNUMBER(SEARCH("Ordinance",$L59)),7/6,1) *
IF(OR(ISNUMBER(SEARCH("Melee",$L59)),ISNUMBER(SEARCH("Bypass",$L59))),1.5,1)</f>
        <v>1.25</v>
      </c>
      <c r="AK59" s="17" cm="1">
        <f t="array" ref="AK59">$H59 *
IF(ISNUMBER(SEARCH("Rapid",$L59)),7/6,1) *
IF(OR(ISNUMBER(SEARCH("Beam",$L59)),ISNUMBER(SEARCH("Firestorm",$L59))),1, IF(ISNUMBER(SEARCH("Blast",$L59)),(4+$G59+(2-$G59)*0.5)/6*2,(4+$G59)/6)) *
_xlfn.IFS(AK$24-$I59 &lt;=1, 5/6, AK$24-$I59 &lt;=5, (7-(AK$24-$I59))/6, AND(AK$24-$I59 =6,NOT(_xlfn.IFNA(ISNUMBER(SEARCH("Rending",$L59)),FALSE))), (7-(AK$24-$I59))/6, AND(AK$24-$I59 &gt;=7,NOT(_xlfn.IFNA(ISNUMBER(SEARCH("Rending",$L59)),FALSE))), 0, AK$24-$I59 =7, (7-(AK$24-1-$I59))/6, AK$24-$I59 =8, (7-(AK$24-2-$I59))/6*2/3, AK$24-$I59 =9, (7-(AK$24-3-$I59))/6*1/3, TRUE, 0) *
IF(ISNUMBER(SEARCH("Ordinance",$L59)),7/6,1) *
IF(OR(ISNUMBER(SEARCH("Melee",$L59)),ISNUMBER(SEARCH("Bypass",$L59))),1.5,1)</f>
        <v>1</v>
      </c>
      <c r="AL59" s="17" cm="1">
        <f t="array" ref="AL59">$H59 *
IF(ISNUMBER(SEARCH("Rapid",$L59)),7/6,1) *
IF(OR(ISNUMBER(SEARCH("Beam",$L59)),ISNUMBER(SEARCH("Firestorm",$L59))),1, IF(ISNUMBER(SEARCH("Blast",$L59)),(4+$G59+(2-$G59)*0.5)/6*2,(4+$G59)/6)) *
_xlfn.IFS(AL$24-$I59 &lt;=1, 5/6, AL$24-$I59 &lt;=5, (7-(AL$24-$I59))/6, AND(AL$24-$I59 =6,NOT(_xlfn.IFNA(ISNUMBER(SEARCH("Rending",$L59)),FALSE))), (7-(AL$24-$I59))/6, AND(AL$24-$I59 &gt;=7,NOT(_xlfn.IFNA(ISNUMBER(SEARCH("Rending",$L59)),FALSE))), 0, AL$24-$I59 =7, (7-(AL$24-1-$I59))/6, AL$24-$I59 =8, (7-(AL$24-2-$I59))/6*2/3, AL$24-$I59 =9, (7-(AL$24-3-$I59))/6*1/3, TRUE, 0) *
IF(ISNUMBER(SEARCH("Ordinance",$L59)),7/6,1) *
IF(OR(ISNUMBER(SEARCH("Melee",$L59)),ISNUMBER(SEARCH("Bypass",$L59))),1.5,1)</f>
        <v>0.75</v>
      </c>
      <c r="AM59" s="17" cm="1">
        <f t="array" ref="AM59">$H59 *
IF(ISNUMBER(SEARCH("Rapid",$L59)),7/6,1) *
IF(OR(ISNUMBER(SEARCH("Beam",$L59)),ISNUMBER(SEARCH("Firestorm",$L59))),1, IF(ISNUMBER(SEARCH("Blast",$L59)),(4+$G59+(2-$G59)*0.5)/6*2,(4+$G59)/6)) *
_xlfn.IFS(AM$24-$I59 &lt;=1, 5/6, AM$24-$I59 &lt;=5, (7-(AM$24-$I59))/6, AND(AM$24-$I59 =6,NOT(_xlfn.IFNA(ISNUMBER(SEARCH("Rending",$L59)),FALSE))), (7-(AM$24-$I59))/6, AND(AM$24-$I59 &gt;=7,NOT(_xlfn.IFNA(ISNUMBER(SEARCH("Rending",$L59)),FALSE))), 0, AM$24-$I59 =7, (7-(AM$24-1-$I59))/6, AM$24-$I59 =8, (7-(AM$24-2-$I59))/6*2/3, AM$24-$I59 =9, (7-(AM$24-3-$I59))/6*1/3, TRUE, 0) *
IF(ISNUMBER(SEARCH("Ordinance",$L59)),7/6,1) *
IF(OR(ISNUMBER(SEARCH("Melee",$L59)),ISNUMBER(SEARCH("Bypass",$L59))),1.5,1)</f>
        <v>0.5</v>
      </c>
      <c r="AN59" s="17" cm="1">
        <f t="array" ref="AN59">$H59 *
IF(ISNUMBER(SEARCH("Rapid",$L59)),7/6,1) *
IF(OR(ISNUMBER(SEARCH("Beam",$L59)),ISNUMBER(SEARCH("Firestorm",$L59))),1, IF(ISNUMBER(SEARCH("Blast",$L59)),(4+$G59+(2-$G59)*0.5)/6*2,(4+$G59)/6)) *
_xlfn.IFS(AN$24-$I59 &lt;=1, 5/6, AN$24-$I59 &lt;=5, (7-(AN$24-$I59))/6, AND(AN$24-$I59 =6,NOT(_xlfn.IFNA(ISNUMBER(SEARCH("Rending",$L59)),FALSE))), (7-(AN$24-$I59))/6, AND(AN$24-$I59 &gt;=7,NOT(_xlfn.IFNA(ISNUMBER(SEARCH("Rending",$L59)),FALSE))), 0, AN$24-$I59 =7, (7-(AN$24-1-$I59))/6, AN$24-$I59 =8, (7-(AN$24-2-$I59))/6*2/3, AN$24-$I59 =9, (7-(AN$24-3-$I59))/6*1/3, TRUE, 0) *
IF(ISNUMBER(SEARCH("Ordinance",$L59)),7/6,1) *
IF(OR(ISNUMBER(SEARCH("Melee",$L59)),ISNUMBER(SEARCH("Bypass",$L59))),1.5,1)</f>
        <v>0.25</v>
      </c>
      <c r="AO59" s="17" cm="1">
        <f t="array" ref="AO59">$H59 *
IF(ISNUMBER(SEARCH("Rapid",$L59)),7/6,1) *
IF(OR(ISNUMBER(SEARCH("Beam",$L59)),ISNUMBER(SEARCH("Firestorm",$L59))),1, IF(ISNUMBER(SEARCH("Blast",$L59)),(4+$G59+(2-$G59)*0.5)/6*2,(4+$G59)/6)) *
_xlfn.IFS(AO$24-$I59 &lt;=1, 5/6, AO$24-$I59 &lt;=5, (7-(AO$24-$I59))/6, AND(AO$24-$I59 =6,NOT(_xlfn.IFNA(ISNUMBER(SEARCH("Rending",$L59)),FALSE))), (7-(AO$24-$I59))/6, AND(AO$24-$I59 &gt;=7,NOT(_xlfn.IFNA(ISNUMBER(SEARCH("Rending",$L59)),FALSE))), 0, AO$24-$I59 =7, (7-(AO$24-1-$I59))/6, AO$24-$I59 =8, (7-(AO$24-2-$I59))/6*2/3, AO$24-$I59 =9, (7-(AO$24-3-$I59))/6*1/3, TRUE, 0) *
IF(ISNUMBER(SEARCH("Ordinance",$L59)),7/6,1) *
IF(OR(ISNUMBER(SEARCH("Melee",$L59)),ISNUMBER(SEARCH("Bypass",$L59))),1.5,1)</f>
        <v>0</v>
      </c>
      <c r="AP59" s="17" cm="1">
        <f t="array" ref="AP59">$H59 *
IF(ISNUMBER(SEARCH("Rapid",$L59)),7/6,1) *
IF(OR(ISNUMBER(SEARCH("Beam",$L59)),ISNUMBER(SEARCH("Firestorm",$L59))),1, IF(ISNUMBER(SEARCH("Blast",$L59)),(4+$G59+(2-$G59)*0.5)/6*2,(4+$G59)/6)) *
_xlfn.IFS(AP$24-$I59 &lt;=1, 5/6, AP$24-$I59 &lt;=5, (7-(AP$24-$I59))/6, AND(AP$24-$I59 =6,NOT(_xlfn.IFNA(ISNUMBER(SEARCH("Rending",$L59)),FALSE))), (7-(AP$24-$I59))/6, AND(AP$24-$I59 &gt;=7,NOT(_xlfn.IFNA(ISNUMBER(SEARCH("Rending",$L59)),FALSE))), 0, AP$24-$I59 =7, (7-(AP$24-1-$I59))/6, AP$24-$I59 =8, (7-(AP$24-2-$I59))/6*2/3, AP$24-$I59 =9, (7-(AP$24-3-$I59))/6*1/3, TRUE, 0) *
IF(ISNUMBER(SEARCH("Ordinance",$L59)),7/6,1) *
IF(OR(ISNUMBER(SEARCH("Melee",$L59)),ISNUMBER(SEARCH("Bypass",$L59))),1.5,1)</f>
        <v>0</v>
      </c>
      <c r="AQ59" s="17" cm="1">
        <f t="array" ref="AQ59">$H59 *
IF(ISNUMBER(SEARCH("Rapid",$L59)),7/6,1) *
IF(OR(ISNUMBER(SEARCH("Beam",$L59)),ISNUMBER(SEARCH("Firestorm",$L59))),1, IF(ISNUMBER(SEARCH("Blast",$L59)),(4+$G59+(2-$G59)*0.5)/6*2,(4+$G59)/6)) *
_xlfn.IFS(AQ$24-$I59 &lt;=1, 5/6, AQ$24-$I59 &lt;=5, (7-(AQ$24-$I59))/6, AND(AQ$24-$I59 =6,NOT(_xlfn.IFNA(ISNUMBER(SEARCH("Rending",$L59)),FALSE))), (7-(AQ$24-$I59))/6, AND(AQ$24-$I59 &gt;=7,NOT(_xlfn.IFNA(ISNUMBER(SEARCH("Rending",$L59)),FALSE))), 0, AQ$24-$I59 =7, (7-(AQ$24-1-$I59))/6, AQ$24-$I59 =8, (7-(AQ$24-2-$I59))/6*2/3, AQ$24-$I59 =9, (7-(AQ$24-3-$I59))/6*1/3, TRUE, 0) *
IF(ISNUMBER(SEARCH("Ordinance",$L59)),7/6,1) *
IF(OR(ISNUMBER(SEARCH("Melee",$L59)),ISNUMBER(SEARCH("Bypass",$L59))),1.5,1)</f>
        <v>0</v>
      </c>
      <c r="AS59" s="16">
        <f t="shared" ref="AS59:AS73" si="11">IF($E59=1,AG59*3,IF($E59=2,2*AG59,1.1*AG59))/3</f>
        <v>0.75</v>
      </c>
      <c r="AT59" s="16">
        <f t="shared" ref="AT59:AT73" si="12">IF($E59=1,AH59*3,IF($E59=2,2*AH59,1.1*AH59))/3</f>
        <v>1</v>
      </c>
      <c r="AU59" s="16">
        <f t="shared" si="9"/>
        <v>1.2569444444444444</v>
      </c>
      <c r="AV59" s="2">
        <v>10</v>
      </c>
    </row>
    <row r="60" spans="1:48" x14ac:dyDescent="0.3">
      <c r="A60" t="s">
        <v>212</v>
      </c>
      <c r="B60" s="3">
        <v>19</v>
      </c>
      <c r="C60" s="3">
        <v>38</v>
      </c>
      <c r="D60" s="3">
        <v>2</v>
      </c>
      <c r="E60" s="3">
        <v>1</v>
      </c>
      <c r="F60" s="10"/>
      <c r="G60" s="10">
        <v>-1</v>
      </c>
      <c r="H60" s="3">
        <v>3</v>
      </c>
      <c r="I60" s="3">
        <v>8</v>
      </c>
      <c r="J60" s="3" t="s">
        <v>216</v>
      </c>
      <c r="K60" s="3">
        <v>40</v>
      </c>
      <c r="L60" s="3" t="s">
        <v>201</v>
      </c>
      <c r="M60" s="3" t="s">
        <v>199</v>
      </c>
      <c r="N60" s="3">
        <v>10</v>
      </c>
      <c r="O60" s="3">
        <v>10</v>
      </c>
      <c r="P60" s="3">
        <v>14</v>
      </c>
      <c r="Q60" s="3" t="s">
        <v>200</v>
      </c>
      <c r="R60" s="3">
        <v>7</v>
      </c>
      <c r="S60" s="3">
        <v>9</v>
      </c>
      <c r="T60" s="3">
        <v>4</v>
      </c>
      <c r="U60" t="s">
        <v>269</v>
      </c>
      <c r="V60" s="16">
        <f t="shared" si="1"/>
        <v>1</v>
      </c>
      <c r="W60" s="16">
        <f t="shared" si="2"/>
        <v>1.3333333333333333</v>
      </c>
      <c r="X60" s="17" cm="1">
        <f t="array" ref="X60">$H60 *
IF(ISNUMBER(SEARCH("Rapid",$L60)),7/6,1) *
IF(OR(ISNUMBER(SEARCH("Beam",$L60)),ISNUMBER(SEARCH("Firestorm",$L60))),1, IF(ISNUMBER(SEARCH("Blast",$L60)),(4+$F60+(2-$F60)*0.5)/6*2,(4+$F60)/6)) *
IF(ISNUMBER(SEARCH("Fusion",$L60)), _xlfn.IFS(X$24-$I60 &lt;=1, 9/10, X$24-$I60 &lt;=10,(11-(X$24-$I60))/10, X$24-$I60 &gt;=11, 0),
_xlfn.IFS(X$24-$I60 &lt;=1, 5/6, X$24-$I60 &lt;=5, (7-(X$24-$I60))/6, AND(X$24-$I60 =6,NOT(_xlfn.IFNA(ISNUMBER(SEARCH("Rending",$L60)),FALSE))), (7-(X$24-$I60))/6, AND(X$24-$I60 &gt;=7,NOT(_xlfn.IFNA(ISNUMBER(SEARCH("Rending",$L60)),FALSE))), 0, X$24-$I60 =7, (7-(X$24-1-$I60))/6, X$24-$I60 =8, (7-(X$24-2-$I60))/6*2/3, X$24-$I60 =9, (7-(X$24-3-$I60))/6*1/3, TRUE, 0)) *
IF(ISNUMBER(SEARCH("Ordinance",$L60)),7/6,1) *
IF(OR(ISNUMBER(SEARCH("Melee",$L60)),ISNUMBER(SEARCH("Bypass",$L60))),1.5,1)</f>
        <v>1.6666666666666667</v>
      </c>
      <c r="Y60" s="17" cm="1">
        <f t="array" ref="Y60">$H60 *
IF(ISNUMBER(SEARCH("Rapid",$L60)),7/6,1) *
IF(OR(ISNUMBER(SEARCH("Beam",$L60)),ISNUMBER(SEARCH("Firestorm",$L60))),1, IF(ISNUMBER(SEARCH("Blast",$L60)),(4+$F60+(2-$F60)*0.5)/6*2,(4+$F60)/6)) *
IF(ISNUMBER(SEARCH("Fusion",$L60)), _xlfn.IFS(Y$24-$I60 &lt;=1, 9/10, Y$24-$I60 &lt;=10,(11-(Y$24-$I60))/10, Y$24-$I60 &gt;=11, 0),
_xlfn.IFS(Y$24-$I60 &lt;=1, 5/6, Y$24-$I60 &lt;=5, (7-(Y$24-$I60))/6, AND(Y$24-$I60 =6,NOT(_xlfn.IFNA(ISNUMBER(SEARCH("Rending",$L60)),FALSE))), (7-(Y$24-$I60))/6, AND(Y$24-$I60 &gt;=7,NOT(_xlfn.IFNA(ISNUMBER(SEARCH("Rending",$L60)),FALSE))), 0, Y$24-$I60 =7, (7-(Y$24-1-$I60))/6, Y$24-$I60 =8, (7-(Y$24-2-$I60))/6*2/3, Y$24-$I60 =9, (7-(Y$24-3-$I60))/6*1/3, TRUE, 0)) *
IF(ISNUMBER(SEARCH("Ordinance",$L60)),7/6,1) *
IF(OR(ISNUMBER(SEARCH("Melee",$L60)),ISNUMBER(SEARCH("Bypass",$L60))),1.5,1)</f>
        <v>1.6666666666666667</v>
      </c>
      <c r="Z60" s="17" cm="1">
        <f t="array" ref="Z60">$H60 *
IF(ISNUMBER(SEARCH("Rapid",$L60)),7/6,1) *
IF(OR(ISNUMBER(SEARCH("Beam",$L60)),ISNUMBER(SEARCH("Firestorm",$L60))),1, IF(ISNUMBER(SEARCH("Blast",$L60)),(4+$F60+(2-$F60)*0.5)/6*2,(4+$F60)/6)) *
IF(ISNUMBER(SEARCH("Fusion",$L60)), _xlfn.IFS(Z$24-$I60 &lt;=1, 9/10, Z$24-$I60 &lt;=10,(11-(Z$24-$I60))/10, Z$24-$I60 &gt;=11, 0),
_xlfn.IFS(Z$24-$I60 &lt;=1, 5/6, Z$24-$I60 &lt;=5, (7-(Z$24-$I60))/6, AND(Z$24-$I60 =6,NOT(_xlfn.IFNA(ISNUMBER(SEARCH("Rending",$L60)),FALSE))), (7-(Z$24-$I60))/6, AND(Z$24-$I60 &gt;=7,NOT(_xlfn.IFNA(ISNUMBER(SEARCH("Rending",$L60)),FALSE))), 0, Z$24-$I60 =7, (7-(Z$24-1-$I60))/6, Z$24-$I60 =8, (7-(Z$24-2-$I60))/6*2/3, Z$24-$I60 =9, (7-(Z$24-3-$I60))/6*1/3, TRUE, 0)) *
IF(ISNUMBER(SEARCH("Ordinance",$L60)),7/6,1) *
IF(OR(ISNUMBER(SEARCH("Melee",$L60)),ISNUMBER(SEARCH("Bypass",$L60))),1.5,1)</f>
        <v>1.3333333333333333</v>
      </c>
      <c r="AA60" s="17" cm="1">
        <f t="array" ref="AA60">$H60 *
IF(ISNUMBER(SEARCH("Rapid",$L60)),7/6,1) *
IF(OR(ISNUMBER(SEARCH("Beam",$L60)),ISNUMBER(SEARCH("Firestorm",$L60))),1, IF(ISNUMBER(SEARCH("Blast",$L60)),(4+$F60+(2-$F60)*0.5)/6*2,(4+$F60)/6)) *
IF(ISNUMBER(SEARCH("Fusion",$L60)), _xlfn.IFS(AA$24-$I60 &lt;=1, 9/10, AA$24-$I60 &lt;=10,(11-(AA$24-$I60))/10, AA$24-$I60 &gt;=11, 0),
_xlfn.IFS(AA$24-$I60 &lt;=1, 5/6, AA$24-$I60 &lt;=5, (7-(AA$24-$I60))/6, AND(AA$24-$I60 =6,NOT(_xlfn.IFNA(ISNUMBER(SEARCH("Rending",$L60)),FALSE))), (7-(AA$24-$I60))/6, AND(AA$24-$I60 &gt;=7,NOT(_xlfn.IFNA(ISNUMBER(SEARCH("Rending",$L60)),FALSE))), 0, AA$24-$I60 =7, (7-(AA$24-1-$I60))/6, AA$24-$I60 =8, (7-(AA$24-2-$I60))/6*2/3, AA$24-$I60 =9, (7-(AA$24-3-$I60))/6*1/3, TRUE, 0)) *
IF(ISNUMBER(SEARCH("Ordinance",$L60)),7/6,1) *
IF(OR(ISNUMBER(SEARCH("Melee",$L60)),ISNUMBER(SEARCH("Bypass",$L60))),1.5,1)</f>
        <v>1</v>
      </c>
      <c r="AB60" s="17" cm="1">
        <f t="array" ref="AB60">$H60 *
IF(ISNUMBER(SEARCH("Rapid",$L60)),7/6,1) *
IF(OR(ISNUMBER(SEARCH("Beam",$L60)),ISNUMBER(SEARCH("Firestorm",$L60))),1, IF(ISNUMBER(SEARCH("Blast",$L60)),(4+$F60+(2-$F60)*0.5)/6*2,(4+$F60)/6)) *
IF(ISNUMBER(SEARCH("Fusion",$L60)), _xlfn.IFS(AB$24-$I60 &lt;=1, 9/10, AB$24-$I60 &lt;=10,(11-(AB$24-$I60))/10, AB$24-$I60 &gt;=11, 0),
_xlfn.IFS(AB$24-$I60 &lt;=1, 5/6, AB$24-$I60 &lt;=5, (7-(AB$24-$I60))/6, AND(AB$24-$I60 =6,NOT(_xlfn.IFNA(ISNUMBER(SEARCH("Rending",$L60)),FALSE))), (7-(AB$24-$I60))/6, AND(AB$24-$I60 &gt;=7,NOT(_xlfn.IFNA(ISNUMBER(SEARCH("Rending",$L60)),FALSE))), 0, AB$24-$I60 =7, (7-(AB$24-1-$I60))/6, AB$24-$I60 =8, (7-(AB$24-2-$I60))/6*2/3, AB$24-$I60 =9, (7-(AB$24-3-$I60))/6*1/3, TRUE, 0)) *
IF(ISNUMBER(SEARCH("Ordinance",$L60)),7/6,1) *
IF(OR(ISNUMBER(SEARCH("Melee",$L60)),ISNUMBER(SEARCH("Bypass",$L60))),1.5,1)</f>
        <v>0.66666666666666663</v>
      </c>
      <c r="AC60" s="17" cm="1">
        <f t="array" ref="AC60">$H60 *
IF(ISNUMBER(SEARCH("Rapid",$L60)),7/6,1) *
IF(OR(ISNUMBER(SEARCH("Beam",$L60)),ISNUMBER(SEARCH("Firestorm",$L60))),1, IF(ISNUMBER(SEARCH("Blast",$L60)),(4+$F60+(2-$F60)*0.5)/6*2,(4+$F60)/6)) *
IF(ISNUMBER(SEARCH("Fusion",$L60)), _xlfn.IFS(AC$24-$I60 &lt;=1, 9/10, AC$24-$I60 &lt;=10,(11-(AC$24-$I60))/10, AC$24-$I60 &gt;=11, 0),
_xlfn.IFS(AC$24-$I60 &lt;=1, 5/6, AC$24-$I60 &lt;=5, (7-(AC$24-$I60))/6, AND(AC$24-$I60 =6,NOT(_xlfn.IFNA(ISNUMBER(SEARCH("Rending",$L60)),FALSE))), (7-(AC$24-$I60))/6, AND(AC$24-$I60 &gt;=7,NOT(_xlfn.IFNA(ISNUMBER(SEARCH("Rending",$L60)),FALSE))), 0, AC$24-$I60 =7, (7-(AC$24-1-$I60))/6, AC$24-$I60 =8, (7-(AC$24-2-$I60))/6*2/3, AC$24-$I60 =9, (7-(AC$24-3-$I60))/6*1/3, TRUE, 0)) *
IF(ISNUMBER(SEARCH("Ordinance",$L60)),7/6,1) *
IF(OR(ISNUMBER(SEARCH("Melee",$L60)),ISNUMBER(SEARCH("Bypass",$L60))),1.5,1)</f>
        <v>0.33333333333333331</v>
      </c>
      <c r="AD60" s="17" cm="1">
        <f t="array" ref="AD60">$H60 *
IF(ISNUMBER(SEARCH("Rapid",$L60)),7/6,1) *
IF(OR(ISNUMBER(SEARCH("Beam",$L60)),ISNUMBER(SEARCH("Firestorm",$L60))),1, IF(ISNUMBER(SEARCH("Blast",$L60)),(4+$F60+(2-$F60)*0.5)/6*2,(4+$F60)/6)) *
IF(ISNUMBER(SEARCH("Fusion",$L60)), _xlfn.IFS(AD$24-$I60 &lt;=1, 9/10, AD$24-$I60 &lt;=10,(11-(AD$24-$I60))/10, AD$24-$I60 &gt;=11, 0),
_xlfn.IFS(AD$24-$I60 &lt;=1, 5/6, AD$24-$I60 &lt;=5, (7-(AD$24-$I60))/6, AND(AD$24-$I60 =6,NOT(_xlfn.IFNA(ISNUMBER(SEARCH("Rending",$L60)),FALSE))), (7-(AD$24-$I60))/6, AND(AD$24-$I60 &gt;=7,NOT(_xlfn.IFNA(ISNUMBER(SEARCH("Rending",$L60)),FALSE))), 0, AD$24-$I60 =7, (7-(AD$24-1-$I60))/6, AD$24-$I60 =8, (7-(AD$24-2-$I60))/6*2/3, AD$24-$I60 =9, (7-(AD$24-3-$I60))/6*1/3, TRUE, 0)) *
IF(ISNUMBER(SEARCH("Ordinance",$L60)),7/6,1) *
IF(OR(ISNUMBER(SEARCH("Melee",$L60)),ISNUMBER(SEARCH("Bypass",$L60))),1.5,1)</f>
        <v>0</v>
      </c>
      <c r="AE60" s="17" cm="1">
        <f t="array" ref="AE60">$H60 *
IF(ISNUMBER(SEARCH("Rapid",$L60)),7/6,1) *
IF(OR(ISNUMBER(SEARCH("Beam",$L60)),ISNUMBER(SEARCH("Firestorm",$L60))),1, IF(ISNUMBER(SEARCH("Blast",$L60)),(4+$F60+(2-$F60)*0.5)/6*2,(4+$F60)/6)) *
IF(ISNUMBER(SEARCH("Fusion",$L60)), _xlfn.IFS(AE$24-$I60 &lt;=1, 9/10, AE$24-$I60 &lt;=10,(11-(AE$24-$I60))/10, AE$24-$I60 &gt;=11, 0),
_xlfn.IFS(AE$24-$I60 &lt;=1, 5/6, AE$24-$I60 &lt;=5, (7-(AE$24-$I60))/6, AND(AE$24-$I60 =6,NOT(_xlfn.IFNA(ISNUMBER(SEARCH("Rending",$L60)),FALSE))), (7-(AE$24-$I60))/6, AND(AE$24-$I60 &gt;=7,NOT(_xlfn.IFNA(ISNUMBER(SEARCH("Rending",$L60)),FALSE))), 0, AE$24-$I60 =7, (7-(AE$24-1-$I60))/6, AE$24-$I60 =8, (7-(AE$24-2-$I60))/6*2/3, AE$24-$I60 =9, (7-(AE$24-3-$I60))/6*1/3, TRUE, 0)) *
IF(ISNUMBER(SEARCH("Ordinance",$L60)),7/6,1) *
IF(OR(ISNUMBER(SEARCH("Melee",$L60)),ISNUMBER(SEARCH("Bypass",$L60))),1.5,1)</f>
        <v>0</v>
      </c>
      <c r="AF60" s="17" cm="1">
        <f t="array" ref="AF60">$H60 *
IF(ISNUMBER(SEARCH("Rapid",$L60)),7/6,1) *
IF(OR(ISNUMBER(SEARCH("Beam",$L60)),ISNUMBER(SEARCH("Firestorm",$L60))),1, IF(ISNUMBER(SEARCH("Blast",$L60)),(4+$F60+(2-$F60)*0.5)/6*2,(4+$F60)/6)) *
IF(ISNUMBER(SEARCH("Fusion",$L60)), _xlfn.IFS(AF$24-$I60 &lt;=1, 9/10, AF$24-$I60 &lt;=10,(11-(AF$24-$I60))/10, AF$24-$I60 &gt;=11, 0),
_xlfn.IFS(AF$24-$I60 &lt;=1, 5/6, AF$24-$I60 &lt;=5, (7-(AF$24-$I60))/6, AND(AF$24-$I60 =6,NOT(_xlfn.IFNA(ISNUMBER(SEARCH("Rending",$L60)),FALSE))), (7-(AF$24-$I60))/6, AND(AF$24-$I60 &gt;=7,NOT(_xlfn.IFNA(ISNUMBER(SEARCH("Rending",$L60)),FALSE))), 0, AF$24-$I60 =7, (7-(AF$24-1-$I60))/6, AF$24-$I60 =8, (7-(AF$24-2-$I60))/6*2/3, AF$24-$I60 =9, (7-(AF$24-3-$I60))/6*1/3, TRUE, 0)) *
IF(ISNUMBER(SEARCH("Ordinance",$L60)),7/6,1) *
IF(OR(ISNUMBER(SEARCH("Melee",$L60)),ISNUMBER(SEARCH("Bypass",$L60))),1.5,1)</f>
        <v>0</v>
      </c>
      <c r="AG60" s="16">
        <f t="shared" si="3"/>
        <v>0.75</v>
      </c>
      <c r="AH60" s="16">
        <f t="shared" si="4"/>
        <v>1</v>
      </c>
      <c r="AI60" s="17" cm="1">
        <f t="array" ref="AI60">$H60 *
IF(ISNUMBER(SEARCH("Rapid",$L60)),7/6,1) *
IF(OR(ISNUMBER(SEARCH("Beam",$L60)),ISNUMBER(SEARCH("Firestorm",$L60))),1, IF(ISNUMBER(SEARCH("Blast",$L60)),(4+$G60+(2-$G60)*0.5)/6*2,(4+$G60)/6)) *
_xlfn.IFS(AI$24-$I60 &lt;=1, 5/6, AI$24-$I60 &lt;=5, (7-(AI$24-$I60))/6, AND(AI$24-$I60 =6,NOT(_xlfn.IFNA(ISNUMBER(SEARCH("Rending",$L60)),FALSE))), (7-(AI$24-$I60))/6, AND(AI$24-$I60 &gt;=7,NOT(_xlfn.IFNA(ISNUMBER(SEARCH("Rending",$L60)),FALSE))), 0, AI$24-$I60 =7, (7-(AI$24-1-$I60))/6, AI$24-$I60 =8, (7-(AI$24-2-$I60))/6*2/3, AI$24-$I60 =9, (7-(AI$24-3-$I60))/6*1/3, TRUE, 0) *
IF(ISNUMBER(SEARCH("Ordinance",$L60)),7/6,1) *
IF(OR(ISNUMBER(SEARCH("Melee",$L60)),ISNUMBER(SEARCH("Bypass",$L60))),1.5,1)</f>
        <v>1.25</v>
      </c>
      <c r="AJ60" s="17" cm="1">
        <f t="array" ref="AJ60">$H60 *
IF(ISNUMBER(SEARCH("Rapid",$L60)),7/6,1) *
IF(OR(ISNUMBER(SEARCH("Beam",$L60)),ISNUMBER(SEARCH("Firestorm",$L60))),1, IF(ISNUMBER(SEARCH("Blast",$L60)),(4+$G60+(2-$G60)*0.5)/6*2,(4+$G60)/6)) *
_xlfn.IFS(AJ$24-$I60 &lt;=1, 5/6, AJ$24-$I60 &lt;=5, (7-(AJ$24-$I60))/6, AND(AJ$24-$I60 =6,NOT(_xlfn.IFNA(ISNUMBER(SEARCH("Rending",$L60)),FALSE))), (7-(AJ$24-$I60))/6, AND(AJ$24-$I60 &gt;=7,NOT(_xlfn.IFNA(ISNUMBER(SEARCH("Rending",$L60)),FALSE))), 0, AJ$24-$I60 =7, (7-(AJ$24-1-$I60))/6, AJ$24-$I60 =8, (7-(AJ$24-2-$I60))/6*2/3, AJ$24-$I60 =9, (7-(AJ$24-3-$I60))/6*1/3, TRUE, 0) *
IF(ISNUMBER(SEARCH("Ordinance",$L60)),7/6,1) *
IF(OR(ISNUMBER(SEARCH("Melee",$L60)),ISNUMBER(SEARCH("Bypass",$L60))),1.5,1)</f>
        <v>1.25</v>
      </c>
      <c r="AK60" s="17" cm="1">
        <f t="array" ref="AK60">$H60 *
IF(ISNUMBER(SEARCH("Rapid",$L60)),7/6,1) *
IF(OR(ISNUMBER(SEARCH("Beam",$L60)),ISNUMBER(SEARCH("Firestorm",$L60))),1, IF(ISNUMBER(SEARCH("Blast",$L60)),(4+$G60+(2-$G60)*0.5)/6*2,(4+$G60)/6)) *
_xlfn.IFS(AK$24-$I60 &lt;=1, 5/6, AK$24-$I60 &lt;=5, (7-(AK$24-$I60))/6, AND(AK$24-$I60 =6,NOT(_xlfn.IFNA(ISNUMBER(SEARCH("Rending",$L60)),FALSE))), (7-(AK$24-$I60))/6, AND(AK$24-$I60 &gt;=7,NOT(_xlfn.IFNA(ISNUMBER(SEARCH("Rending",$L60)),FALSE))), 0, AK$24-$I60 =7, (7-(AK$24-1-$I60))/6, AK$24-$I60 =8, (7-(AK$24-2-$I60))/6*2/3, AK$24-$I60 =9, (7-(AK$24-3-$I60))/6*1/3, TRUE, 0) *
IF(ISNUMBER(SEARCH("Ordinance",$L60)),7/6,1) *
IF(OR(ISNUMBER(SEARCH("Melee",$L60)),ISNUMBER(SEARCH("Bypass",$L60))),1.5,1)</f>
        <v>1</v>
      </c>
      <c r="AL60" s="17" cm="1">
        <f t="array" ref="AL60">$H60 *
IF(ISNUMBER(SEARCH("Rapid",$L60)),7/6,1) *
IF(OR(ISNUMBER(SEARCH("Beam",$L60)),ISNUMBER(SEARCH("Firestorm",$L60))),1, IF(ISNUMBER(SEARCH("Blast",$L60)),(4+$G60+(2-$G60)*0.5)/6*2,(4+$G60)/6)) *
_xlfn.IFS(AL$24-$I60 &lt;=1, 5/6, AL$24-$I60 &lt;=5, (7-(AL$24-$I60))/6, AND(AL$24-$I60 =6,NOT(_xlfn.IFNA(ISNUMBER(SEARCH("Rending",$L60)),FALSE))), (7-(AL$24-$I60))/6, AND(AL$24-$I60 &gt;=7,NOT(_xlfn.IFNA(ISNUMBER(SEARCH("Rending",$L60)),FALSE))), 0, AL$24-$I60 =7, (7-(AL$24-1-$I60))/6, AL$24-$I60 =8, (7-(AL$24-2-$I60))/6*2/3, AL$24-$I60 =9, (7-(AL$24-3-$I60))/6*1/3, TRUE, 0) *
IF(ISNUMBER(SEARCH("Ordinance",$L60)),7/6,1) *
IF(OR(ISNUMBER(SEARCH("Melee",$L60)),ISNUMBER(SEARCH("Bypass",$L60))),1.5,1)</f>
        <v>0.75</v>
      </c>
      <c r="AM60" s="17" cm="1">
        <f t="array" ref="AM60">$H60 *
IF(ISNUMBER(SEARCH("Rapid",$L60)),7/6,1) *
IF(OR(ISNUMBER(SEARCH("Beam",$L60)),ISNUMBER(SEARCH("Firestorm",$L60))),1, IF(ISNUMBER(SEARCH("Blast",$L60)),(4+$G60+(2-$G60)*0.5)/6*2,(4+$G60)/6)) *
_xlfn.IFS(AM$24-$I60 &lt;=1, 5/6, AM$24-$I60 &lt;=5, (7-(AM$24-$I60))/6, AND(AM$24-$I60 =6,NOT(_xlfn.IFNA(ISNUMBER(SEARCH("Rending",$L60)),FALSE))), (7-(AM$24-$I60))/6, AND(AM$24-$I60 &gt;=7,NOT(_xlfn.IFNA(ISNUMBER(SEARCH("Rending",$L60)),FALSE))), 0, AM$24-$I60 =7, (7-(AM$24-1-$I60))/6, AM$24-$I60 =8, (7-(AM$24-2-$I60))/6*2/3, AM$24-$I60 =9, (7-(AM$24-3-$I60))/6*1/3, TRUE, 0) *
IF(ISNUMBER(SEARCH("Ordinance",$L60)),7/6,1) *
IF(OR(ISNUMBER(SEARCH("Melee",$L60)),ISNUMBER(SEARCH("Bypass",$L60))),1.5,1)</f>
        <v>0.5</v>
      </c>
      <c r="AN60" s="17" cm="1">
        <f t="array" ref="AN60">$H60 *
IF(ISNUMBER(SEARCH("Rapid",$L60)),7/6,1) *
IF(OR(ISNUMBER(SEARCH("Beam",$L60)),ISNUMBER(SEARCH("Firestorm",$L60))),1, IF(ISNUMBER(SEARCH("Blast",$L60)),(4+$G60+(2-$G60)*0.5)/6*2,(4+$G60)/6)) *
_xlfn.IFS(AN$24-$I60 &lt;=1, 5/6, AN$24-$I60 &lt;=5, (7-(AN$24-$I60))/6, AND(AN$24-$I60 =6,NOT(_xlfn.IFNA(ISNUMBER(SEARCH("Rending",$L60)),FALSE))), (7-(AN$24-$I60))/6, AND(AN$24-$I60 &gt;=7,NOT(_xlfn.IFNA(ISNUMBER(SEARCH("Rending",$L60)),FALSE))), 0, AN$24-$I60 =7, (7-(AN$24-1-$I60))/6, AN$24-$I60 =8, (7-(AN$24-2-$I60))/6*2/3, AN$24-$I60 =9, (7-(AN$24-3-$I60))/6*1/3, TRUE, 0) *
IF(ISNUMBER(SEARCH("Ordinance",$L60)),7/6,1) *
IF(OR(ISNUMBER(SEARCH("Melee",$L60)),ISNUMBER(SEARCH("Bypass",$L60))),1.5,1)</f>
        <v>0.25</v>
      </c>
      <c r="AO60" s="17" cm="1">
        <f t="array" ref="AO60">$H60 *
IF(ISNUMBER(SEARCH("Rapid",$L60)),7/6,1) *
IF(OR(ISNUMBER(SEARCH("Beam",$L60)),ISNUMBER(SEARCH("Firestorm",$L60))),1, IF(ISNUMBER(SEARCH("Blast",$L60)),(4+$G60+(2-$G60)*0.5)/6*2,(4+$G60)/6)) *
_xlfn.IFS(AO$24-$I60 &lt;=1, 5/6, AO$24-$I60 &lt;=5, (7-(AO$24-$I60))/6, AND(AO$24-$I60 =6,NOT(_xlfn.IFNA(ISNUMBER(SEARCH("Rending",$L60)),FALSE))), (7-(AO$24-$I60))/6, AND(AO$24-$I60 &gt;=7,NOT(_xlfn.IFNA(ISNUMBER(SEARCH("Rending",$L60)),FALSE))), 0, AO$24-$I60 =7, (7-(AO$24-1-$I60))/6, AO$24-$I60 =8, (7-(AO$24-2-$I60))/6*2/3, AO$24-$I60 =9, (7-(AO$24-3-$I60))/6*1/3, TRUE, 0) *
IF(ISNUMBER(SEARCH("Ordinance",$L60)),7/6,1) *
IF(OR(ISNUMBER(SEARCH("Melee",$L60)),ISNUMBER(SEARCH("Bypass",$L60))),1.5,1)</f>
        <v>0</v>
      </c>
      <c r="AP60" s="17" cm="1">
        <f t="array" ref="AP60">$H60 *
IF(ISNUMBER(SEARCH("Rapid",$L60)),7/6,1) *
IF(OR(ISNUMBER(SEARCH("Beam",$L60)),ISNUMBER(SEARCH("Firestorm",$L60))),1, IF(ISNUMBER(SEARCH("Blast",$L60)),(4+$G60+(2-$G60)*0.5)/6*2,(4+$G60)/6)) *
_xlfn.IFS(AP$24-$I60 &lt;=1, 5/6, AP$24-$I60 &lt;=5, (7-(AP$24-$I60))/6, AND(AP$24-$I60 =6,NOT(_xlfn.IFNA(ISNUMBER(SEARCH("Rending",$L60)),FALSE))), (7-(AP$24-$I60))/6, AND(AP$24-$I60 &gt;=7,NOT(_xlfn.IFNA(ISNUMBER(SEARCH("Rending",$L60)),FALSE))), 0, AP$24-$I60 =7, (7-(AP$24-1-$I60))/6, AP$24-$I60 =8, (7-(AP$24-2-$I60))/6*2/3, AP$24-$I60 =9, (7-(AP$24-3-$I60))/6*1/3, TRUE, 0) *
IF(ISNUMBER(SEARCH("Ordinance",$L60)),7/6,1) *
IF(OR(ISNUMBER(SEARCH("Melee",$L60)),ISNUMBER(SEARCH("Bypass",$L60))),1.5,1)</f>
        <v>0</v>
      </c>
      <c r="AQ60" s="17" cm="1">
        <f t="array" ref="AQ60">$H60 *
IF(ISNUMBER(SEARCH("Rapid",$L60)),7/6,1) *
IF(OR(ISNUMBER(SEARCH("Beam",$L60)),ISNUMBER(SEARCH("Firestorm",$L60))),1, IF(ISNUMBER(SEARCH("Blast",$L60)),(4+$G60+(2-$G60)*0.5)/6*2,(4+$G60)/6)) *
_xlfn.IFS(AQ$24-$I60 &lt;=1, 5/6, AQ$24-$I60 &lt;=5, (7-(AQ$24-$I60))/6, AND(AQ$24-$I60 =6,NOT(_xlfn.IFNA(ISNUMBER(SEARCH("Rending",$L60)),FALSE))), (7-(AQ$24-$I60))/6, AND(AQ$24-$I60 &gt;=7,NOT(_xlfn.IFNA(ISNUMBER(SEARCH("Rending",$L60)),FALSE))), 0, AQ$24-$I60 =7, (7-(AQ$24-1-$I60))/6, AQ$24-$I60 =8, (7-(AQ$24-2-$I60))/6*2/3, AQ$24-$I60 =9, (7-(AQ$24-3-$I60))/6*1/3, TRUE, 0) *
IF(ISNUMBER(SEARCH("Ordinance",$L60)),7/6,1) *
IF(OR(ISNUMBER(SEARCH("Melee",$L60)),ISNUMBER(SEARCH("Bypass",$L60))),1.5,1)</f>
        <v>0</v>
      </c>
      <c r="AS60" s="16">
        <f t="shared" si="11"/>
        <v>0.75</v>
      </c>
      <c r="AT60" s="16">
        <f t="shared" si="12"/>
        <v>1</v>
      </c>
      <c r="AU60" s="16">
        <f t="shared" si="9"/>
        <v>1.2569444444444444</v>
      </c>
      <c r="AV60" s="2">
        <v>10</v>
      </c>
    </row>
    <row r="61" spans="1:48" x14ac:dyDescent="0.3">
      <c r="A61" t="s">
        <v>886</v>
      </c>
      <c r="B61" s="3">
        <v>20</v>
      </c>
      <c r="C61" s="3">
        <v>40</v>
      </c>
      <c r="D61" s="3">
        <v>2</v>
      </c>
      <c r="E61" s="3">
        <v>1</v>
      </c>
      <c r="F61" s="10"/>
      <c r="G61" s="10"/>
      <c r="H61" s="3">
        <v>2</v>
      </c>
      <c r="I61" s="3">
        <v>9</v>
      </c>
      <c r="J61" s="3" t="s">
        <v>216</v>
      </c>
      <c r="K61" s="3">
        <v>25</v>
      </c>
      <c r="L61" s="3" t="s">
        <v>624</v>
      </c>
      <c r="M61" s="3" t="s">
        <v>199</v>
      </c>
      <c r="N61" s="3">
        <v>10</v>
      </c>
      <c r="O61" s="3">
        <v>10</v>
      </c>
      <c r="P61" s="3">
        <v>14</v>
      </c>
      <c r="Q61" s="3" t="s">
        <v>200</v>
      </c>
      <c r="R61" s="3">
        <v>7</v>
      </c>
      <c r="S61" s="3">
        <v>9</v>
      </c>
      <c r="T61" s="3">
        <v>4</v>
      </c>
      <c r="V61" s="16">
        <f t="shared" si="1"/>
        <v>0.44444444444444442</v>
      </c>
      <c r="W61" s="16">
        <f t="shared" si="2"/>
        <v>0.66666666666666663</v>
      </c>
      <c r="X61" s="17" cm="1">
        <f t="array" ref="X61">$H61 *
IF(ISNUMBER(SEARCH("Rapid",$L61)),7/6,1) *
IF(OR(ISNUMBER(SEARCH("Beam",$L61)),ISNUMBER(SEARCH("Firestorm",$L61))),1, IF(ISNUMBER(SEARCH("Blast",$L61)),(4+$F61+(2-$F61)*0.5)/6*2,(4+$F61)/6)) *
IF(ISNUMBER(SEARCH("Fusion",$L61)), _xlfn.IFS(X$24-$I61 &lt;=1, 9/10, X$24-$I61 &lt;=10,(11-(X$24-$I61))/10, X$24-$I61 &gt;=11, 0),
_xlfn.IFS(X$24-$I61 &lt;=1, 5/6, X$24-$I61 &lt;=5, (7-(X$24-$I61))/6, AND(X$24-$I61 =6,NOT(_xlfn.IFNA(ISNUMBER(SEARCH("Rending",$L61)),FALSE))), (7-(X$24-$I61))/6, AND(X$24-$I61 &gt;=7,NOT(_xlfn.IFNA(ISNUMBER(SEARCH("Rending",$L61)),FALSE))), 0, X$24-$I61 =7, (7-(X$24-1-$I61))/6, X$24-$I61 =8, (7-(X$24-2-$I61))/6*2/3, X$24-$I61 =9, (7-(X$24-3-$I61))/6*1/3, TRUE, 0)) *
IF(ISNUMBER(SEARCH("Ordinance",$L61)),7/6,1) *
IF(OR(ISNUMBER(SEARCH("Melee",$L61)),ISNUMBER(SEARCH("Bypass",$L61))),1.5,1)</f>
        <v>1.1111111111111112</v>
      </c>
      <c r="Y61" s="17" cm="1">
        <f t="array" ref="Y61">$H61 *
IF(ISNUMBER(SEARCH("Rapid",$L61)),7/6,1) *
IF(OR(ISNUMBER(SEARCH("Beam",$L61)),ISNUMBER(SEARCH("Firestorm",$L61))),1, IF(ISNUMBER(SEARCH("Blast",$L61)),(4+$F61+(2-$F61)*0.5)/6*2,(4+$F61)/6)) *
IF(ISNUMBER(SEARCH("Fusion",$L61)), _xlfn.IFS(Y$24-$I61 &lt;=1, 9/10, Y$24-$I61 &lt;=10,(11-(Y$24-$I61))/10, Y$24-$I61 &gt;=11, 0),
_xlfn.IFS(Y$24-$I61 &lt;=1, 5/6, Y$24-$I61 &lt;=5, (7-(Y$24-$I61))/6, AND(Y$24-$I61 =6,NOT(_xlfn.IFNA(ISNUMBER(SEARCH("Rending",$L61)),FALSE))), (7-(Y$24-$I61))/6, AND(Y$24-$I61 &gt;=7,NOT(_xlfn.IFNA(ISNUMBER(SEARCH("Rending",$L61)),FALSE))), 0, Y$24-$I61 =7, (7-(Y$24-1-$I61))/6, Y$24-$I61 =8, (7-(Y$24-2-$I61))/6*2/3, Y$24-$I61 =9, (7-(Y$24-3-$I61))/6*1/3, TRUE, 0)) *
IF(ISNUMBER(SEARCH("Ordinance",$L61)),7/6,1) *
IF(OR(ISNUMBER(SEARCH("Melee",$L61)),ISNUMBER(SEARCH("Bypass",$L61))),1.5,1)</f>
        <v>1.1111111111111112</v>
      </c>
      <c r="Z61" s="17" cm="1">
        <f t="array" ref="Z61">$H61 *
IF(ISNUMBER(SEARCH("Rapid",$L61)),7/6,1) *
IF(OR(ISNUMBER(SEARCH("Beam",$L61)),ISNUMBER(SEARCH("Firestorm",$L61))),1, IF(ISNUMBER(SEARCH("Blast",$L61)),(4+$F61+(2-$F61)*0.5)/6*2,(4+$F61)/6)) *
IF(ISNUMBER(SEARCH("Fusion",$L61)), _xlfn.IFS(Z$24-$I61 &lt;=1, 9/10, Z$24-$I61 &lt;=10,(11-(Z$24-$I61))/10, Z$24-$I61 &gt;=11, 0),
_xlfn.IFS(Z$24-$I61 &lt;=1, 5/6, Z$24-$I61 &lt;=5, (7-(Z$24-$I61))/6, AND(Z$24-$I61 =6,NOT(_xlfn.IFNA(ISNUMBER(SEARCH("Rending",$L61)),FALSE))), (7-(Z$24-$I61))/6, AND(Z$24-$I61 &gt;=7,NOT(_xlfn.IFNA(ISNUMBER(SEARCH("Rending",$L61)),FALSE))), 0, Z$24-$I61 =7, (7-(Z$24-1-$I61))/6, Z$24-$I61 =8, (7-(Z$24-2-$I61))/6*2/3, Z$24-$I61 =9, (7-(Z$24-3-$I61))/6*1/3, TRUE, 0)) *
IF(ISNUMBER(SEARCH("Ordinance",$L61)),7/6,1) *
IF(OR(ISNUMBER(SEARCH("Melee",$L61)),ISNUMBER(SEARCH("Bypass",$L61))),1.5,1)</f>
        <v>1.1111111111111112</v>
      </c>
      <c r="AA61" s="17" cm="1">
        <f t="array" ref="AA61">$H61 *
IF(ISNUMBER(SEARCH("Rapid",$L61)),7/6,1) *
IF(OR(ISNUMBER(SEARCH("Beam",$L61)),ISNUMBER(SEARCH("Firestorm",$L61))),1, IF(ISNUMBER(SEARCH("Blast",$L61)),(4+$F61+(2-$F61)*0.5)/6*2,(4+$F61)/6)) *
IF(ISNUMBER(SEARCH("Fusion",$L61)), _xlfn.IFS(AA$24-$I61 &lt;=1, 9/10, AA$24-$I61 &lt;=10,(11-(AA$24-$I61))/10, AA$24-$I61 &gt;=11, 0),
_xlfn.IFS(AA$24-$I61 &lt;=1, 5/6, AA$24-$I61 &lt;=5, (7-(AA$24-$I61))/6, AND(AA$24-$I61 =6,NOT(_xlfn.IFNA(ISNUMBER(SEARCH("Rending",$L61)),FALSE))), (7-(AA$24-$I61))/6, AND(AA$24-$I61 &gt;=7,NOT(_xlfn.IFNA(ISNUMBER(SEARCH("Rending",$L61)),FALSE))), 0, AA$24-$I61 =7, (7-(AA$24-1-$I61))/6, AA$24-$I61 =8, (7-(AA$24-2-$I61))/6*2/3, AA$24-$I61 =9, (7-(AA$24-3-$I61))/6*1/3, TRUE, 0)) *
IF(ISNUMBER(SEARCH("Ordinance",$L61)),7/6,1) *
IF(OR(ISNUMBER(SEARCH("Melee",$L61)),ISNUMBER(SEARCH("Bypass",$L61))),1.5,1)</f>
        <v>0.88888888888888884</v>
      </c>
      <c r="AB61" s="17" cm="1">
        <f t="array" ref="AB61">$H61 *
IF(ISNUMBER(SEARCH("Rapid",$L61)),7/6,1) *
IF(OR(ISNUMBER(SEARCH("Beam",$L61)),ISNUMBER(SEARCH("Firestorm",$L61))),1, IF(ISNUMBER(SEARCH("Blast",$L61)),(4+$F61+(2-$F61)*0.5)/6*2,(4+$F61)/6)) *
IF(ISNUMBER(SEARCH("Fusion",$L61)), _xlfn.IFS(AB$24-$I61 &lt;=1, 9/10, AB$24-$I61 &lt;=10,(11-(AB$24-$I61))/10, AB$24-$I61 &gt;=11, 0),
_xlfn.IFS(AB$24-$I61 &lt;=1, 5/6, AB$24-$I61 &lt;=5, (7-(AB$24-$I61))/6, AND(AB$24-$I61 =6,NOT(_xlfn.IFNA(ISNUMBER(SEARCH("Rending",$L61)),FALSE))), (7-(AB$24-$I61))/6, AND(AB$24-$I61 &gt;=7,NOT(_xlfn.IFNA(ISNUMBER(SEARCH("Rending",$L61)),FALSE))), 0, AB$24-$I61 =7, (7-(AB$24-1-$I61))/6, AB$24-$I61 =8, (7-(AB$24-2-$I61))/6*2/3, AB$24-$I61 =9, (7-(AB$24-3-$I61))/6*1/3, TRUE, 0)) *
IF(ISNUMBER(SEARCH("Ordinance",$L61)),7/6,1) *
IF(OR(ISNUMBER(SEARCH("Melee",$L61)),ISNUMBER(SEARCH("Bypass",$L61))),1.5,1)</f>
        <v>0.66666666666666663</v>
      </c>
      <c r="AC61" s="17" cm="1">
        <f t="array" ref="AC61">$H61 *
IF(ISNUMBER(SEARCH("Rapid",$L61)),7/6,1) *
IF(OR(ISNUMBER(SEARCH("Beam",$L61)),ISNUMBER(SEARCH("Firestorm",$L61))),1, IF(ISNUMBER(SEARCH("Blast",$L61)),(4+$F61+(2-$F61)*0.5)/6*2,(4+$F61)/6)) *
IF(ISNUMBER(SEARCH("Fusion",$L61)), _xlfn.IFS(AC$24-$I61 &lt;=1, 9/10, AC$24-$I61 &lt;=10,(11-(AC$24-$I61))/10, AC$24-$I61 &gt;=11, 0),
_xlfn.IFS(AC$24-$I61 &lt;=1, 5/6, AC$24-$I61 &lt;=5, (7-(AC$24-$I61))/6, AND(AC$24-$I61 =6,NOT(_xlfn.IFNA(ISNUMBER(SEARCH("Rending",$L61)),FALSE))), (7-(AC$24-$I61))/6, AND(AC$24-$I61 &gt;=7,NOT(_xlfn.IFNA(ISNUMBER(SEARCH("Rending",$L61)),FALSE))), 0, AC$24-$I61 =7, (7-(AC$24-1-$I61))/6, AC$24-$I61 =8, (7-(AC$24-2-$I61))/6*2/3, AC$24-$I61 =9, (7-(AC$24-3-$I61))/6*1/3, TRUE, 0)) *
IF(ISNUMBER(SEARCH("Ordinance",$L61)),7/6,1) *
IF(OR(ISNUMBER(SEARCH("Melee",$L61)),ISNUMBER(SEARCH("Bypass",$L61))),1.5,1)</f>
        <v>0.44444444444444442</v>
      </c>
      <c r="AD61" s="17" cm="1">
        <f t="array" ref="AD61">$H61 *
IF(ISNUMBER(SEARCH("Rapid",$L61)),7/6,1) *
IF(OR(ISNUMBER(SEARCH("Beam",$L61)),ISNUMBER(SEARCH("Firestorm",$L61))),1, IF(ISNUMBER(SEARCH("Blast",$L61)),(4+$F61+(2-$F61)*0.5)/6*2,(4+$F61)/6)) *
IF(ISNUMBER(SEARCH("Fusion",$L61)), _xlfn.IFS(AD$24-$I61 &lt;=1, 9/10, AD$24-$I61 &lt;=10,(11-(AD$24-$I61))/10, AD$24-$I61 &gt;=11, 0),
_xlfn.IFS(AD$24-$I61 &lt;=1, 5/6, AD$24-$I61 &lt;=5, (7-(AD$24-$I61))/6, AND(AD$24-$I61 =6,NOT(_xlfn.IFNA(ISNUMBER(SEARCH("Rending",$L61)),FALSE))), (7-(AD$24-$I61))/6, AND(AD$24-$I61 &gt;=7,NOT(_xlfn.IFNA(ISNUMBER(SEARCH("Rending",$L61)),FALSE))), 0, AD$24-$I61 =7, (7-(AD$24-1-$I61))/6, AD$24-$I61 =8, (7-(AD$24-2-$I61))/6*2/3, AD$24-$I61 =9, (7-(AD$24-3-$I61))/6*1/3, TRUE, 0)) *
IF(ISNUMBER(SEARCH("Ordinance",$L61)),7/6,1) *
IF(OR(ISNUMBER(SEARCH("Melee",$L61)),ISNUMBER(SEARCH("Bypass",$L61))),1.5,1)</f>
        <v>0</v>
      </c>
      <c r="AE61" s="17" cm="1">
        <f t="array" ref="AE61">$H61 *
IF(ISNUMBER(SEARCH("Rapid",$L61)),7/6,1) *
IF(OR(ISNUMBER(SEARCH("Beam",$L61)),ISNUMBER(SEARCH("Firestorm",$L61))),1, IF(ISNUMBER(SEARCH("Blast",$L61)),(4+$F61+(2-$F61)*0.5)/6*2,(4+$F61)/6)) *
IF(ISNUMBER(SEARCH("Fusion",$L61)), _xlfn.IFS(AE$24-$I61 &lt;=1, 9/10, AE$24-$I61 &lt;=10,(11-(AE$24-$I61))/10, AE$24-$I61 &gt;=11, 0),
_xlfn.IFS(AE$24-$I61 &lt;=1, 5/6, AE$24-$I61 &lt;=5, (7-(AE$24-$I61))/6, AND(AE$24-$I61 =6,NOT(_xlfn.IFNA(ISNUMBER(SEARCH("Rending",$L61)),FALSE))), (7-(AE$24-$I61))/6, AND(AE$24-$I61 &gt;=7,NOT(_xlfn.IFNA(ISNUMBER(SEARCH("Rending",$L61)),FALSE))), 0, AE$24-$I61 =7, (7-(AE$24-1-$I61))/6, AE$24-$I61 =8, (7-(AE$24-2-$I61))/6*2/3, AE$24-$I61 =9, (7-(AE$24-3-$I61))/6*1/3, TRUE, 0)) *
IF(ISNUMBER(SEARCH("Ordinance",$L61)),7/6,1) *
IF(OR(ISNUMBER(SEARCH("Melee",$L61)),ISNUMBER(SEARCH("Bypass",$L61))),1.5,1)</f>
        <v>0.22222222222222221</v>
      </c>
      <c r="AF61" s="17" cm="1">
        <f t="array" ref="AF61">$H61 *
IF(ISNUMBER(SEARCH("Rapid",$L61)),7/6,1) *
IF(OR(ISNUMBER(SEARCH("Beam",$L61)),ISNUMBER(SEARCH("Firestorm",$L61))),1, IF(ISNUMBER(SEARCH("Blast",$L61)),(4+$F61+(2-$F61)*0.5)/6*2,(4+$F61)/6)) *
IF(ISNUMBER(SEARCH("Fusion",$L61)), _xlfn.IFS(AF$24-$I61 &lt;=1, 9/10, AF$24-$I61 &lt;=10,(11-(AF$24-$I61))/10, AF$24-$I61 &gt;=11, 0),
_xlfn.IFS(AF$24-$I61 &lt;=1, 5/6, AF$24-$I61 &lt;=5, (7-(AF$24-$I61))/6, AND(AF$24-$I61 =6,NOT(_xlfn.IFNA(ISNUMBER(SEARCH("Rending",$L61)),FALSE))), (7-(AF$24-$I61))/6, AND(AF$24-$I61 &gt;=7,NOT(_xlfn.IFNA(ISNUMBER(SEARCH("Rending",$L61)),FALSE))), 0, AF$24-$I61 =7, (7-(AF$24-1-$I61))/6, AF$24-$I61 =8, (7-(AF$24-2-$I61))/6*2/3, AF$24-$I61 =9, (7-(AF$24-3-$I61))/6*1/3, TRUE, 0)) *
IF(ISNUMBER(SEARCH("Ordinance",$L61)),7/6,1) *
IF(OR(ISNUMBER(SEARCH("Melee",$L61)),ISNUMBER(SEARCH("Bypass",$L61))),1.5,1)</f>
        <v>0.14814814814814814</v>
      </c>
      <c r="AG61" s="16">
        <f t="shared" si="3"/>
        <v>0.44444444444444442</v>
      </c>
      <c r="AH61" s="16">
        <f t="shared" si="4"/>
        <v>0.66666666666666663</v>
      </c>
      <c r="AI61" s="17" cm="1">
        <f t="array" ref="AI61">$H61 *
IF(ISNUMBER(SEARCH("Rapid",$L61)),7/6,1) *
IF(OR(ISNUMBER(SEARCH("Beam",$L61)),ISNUMBER(SEARCH("Firestorm",$L61))),1, IF(ISNUMBER(SEARCH("Blast",$L61)),(4+$G61+(2-$G61)*0.5)/6*2,(4+$G61)/6)) *
_xlfn.IFS(AI$24-$I61 &lt;=1, 5/6, AI$24-$I61 &lt;=5, (7-(AI$24-$I61))/6, AND(AI$24-$I61 =6,NOT(_xlfn.IFNA(ISNUMBER(SEARCH("Rending",$L61)),FALSE))), (7-(AI$24-$I61))/6, AND(AI$24-$I61 &gt;=7,NOT(_xlfn.IFNA(ISNUMBER(SEARCH("Rending",$L61)),FALSE))), 0, AI$24-$I61 =7, (7-(AI$24-1-$I61))/6, AI$24-$I61 =8, (7-(AI$24-2-$I61))/6*2/3, AI$24-$I61 =9, (7-(AI$24-3-$I61))/6*1/3, TRUE, 0) *
IF(ISNUMBER(SEARCH("Ordinance",$L61)),7/6,1) *
IF(OR(ISNUMBER(SEARCH("Melee",$L61)),ISNUMBER(SEARCH("Bypass",$L61))),1.5,1)</f>
        <v>1.1111111111111112</v>
      </c>
      <c r="AJ61" s="17" cm="1">
        <f t="array" ref="AJ61">$H61 *
IF(ISNUMBER(SEARCH("Rapid",$L61)),7/6,1) *
IF(OR(ISNUMBER(SEARCH("Beam",$L61)),ISNUMBER(SEARCH("Firestorm",$L61))),1, IF(ISNUMBER(SEARCH("Blast",$L61)),(4+$G61+(2-$G61)*0.5)/6*2,(4+$G61)/6)) *
_xlfn.IFS(AJ$24-$I61 &lt;=1, 5/6, AJ$24-$I61 &lt;=5, (7-(AJ$24-$I61))/6, AND(AJ$24-$I61 =6,NOT(_xlfn.IFNA(ISNUMBER(SEARCH("Rending",$L61)),FALSE))), (7-(AJ$24-$I61))/6, AND(AJ$24-$I61 &gt;=7,NOT(_xlfn.IFNA(ISNUMBER(SEARCH("Rending",$L61)),FALSE))), 0, AJ$24-$I61 =7, (7-(AJ$24-1-$I61))/6, AJ$24-$I61 =8, (7-(AJ$24-2-$I61))/6*2/3, AJ$24-$I61 =9, (7-(AJ$24-3-$I61))/6*1/3, TRUE, 0) *
IF(ISNUMBER(SEARCH("Ordinance",$L61)),7/6,1) *
IF(OR(ISNUMBER(SEARCH("Melee",$L61)),ISNUMBER(SEARCH("Bypass",$L61))),1.5,1)</f>
        <v>1.1111111111111112</v>
      </c>
      <c r="AK61" s="17" cm="1">
        <f t="array" ref="AK61">$H61 *
IF(ISNUMBER(SEARCH("Rapid",$L61)),7/6,1) *
IF(OR(ISNUMBER(SEARCH("Beam",$L61)),ISNUMBER(SEARCH("Firestorm",$L61))),1, IF(ISNUMBER(SEARCH("Blast",$L61)),(4+$G61+(2-$G61)*0.5)/6*2,(4+$G61)/6)) *
_xlfn.IFS(AK$24-$I61 &lt;=1, 5/6, AK$24-$I61 &lt;=5, (7-(AK$24-$I61))/6, AND(AK$24-$I61 =6,NOT(_xlfn.IFNA(ISNUMBER(SEARCH("Rending",$L61)),FALSE))), (7-(AK$24-$I61))/6, AND(AK$24-$I61 &gt;=7,NOT(_xlfn.IFNA(ISNUMBER(SEARCH("Rending",$L61)),FALSE))), 0, AK$24-$I61 =7, (7-(AK$24-1-$I61))/6, AK$24-$I61 =8, (7-(AK$24-2-$I61))/6*2/3, AK$24-$I61 =9, (7-(AK$24-3-$I61))/6*1/3, TRUE, 0) *
IF(ISNUMBER(SEARCH("Ordinance",$L61)),7/6,1) *
IF(OR(ISNUMBER(SEARCH("Melee",$L61)),ISNUMBER(SEARCH("Bypass",$L61))),1.5,1)</f>
        <v>1.1111111111111112</v>
      </c>
      <c r="AL61" s="17" cm="1">
        <f t="array" ref="AL61">$H61 *
IF(ISNUMBER(SEARCH("Rapid",$L61)),7/6,1) *
IF(OR(ISNUMBER(SEARCH("Beam",$L61)),ISNUMBER(SEARCH("Firestorm",$L61))),1, IF(ISNUMBER(SEARCH("Blast",$L61)),(4+$G61+(2-$G61)*0.5)/6*2,(4+$G61)/6)) *
_xlfn.IFS(AL$24-$I61 &lt;=1, 5/6, AL$24-$I61 &lt;=5, (7-(AL$24-$I61))/6, AND(AL$24-$I61 =6,NOT(_xlfn.IFNA(ISNUMBER(SEARCH("Rending",$L61)),FALSE))), (7-(AL$24-$I61))/6, AND(AL$24-$I61 &gt;=7,NOT(_xlfn.IFNA(ISNUMBER(SEARCH("Rending",$L61)),FALSE))), 0, AL$24-$I61 =7, (7-(AL$24-1-$I61))/6, AL$24-$I61 =8, (7-(AL$24-2-$I61))/6*2/3, AL$24-$I61 =9, (7-(AL$24-3-$I61))/6*1/3, TRUE, 0) *
IF(ISNUMBER(SEARCH("Ordinance",$L61)),7/6,1) *
IF(OR(ISNUMBER(SEARCH("Melee",$L61)),ISNUMBER(SEARCH("Bypass",$L61))),1.5,1)</f>
        <v>0.88888888888888884</v>
      </c>
      <c r="AM61" s="17" cm="1">
        <f t="array" ref="AM61">$H61 *
IF(ISNUMBER(SEARCH("Rapid",$L61)),7/6,1) *
IF(OR(ISNUMBER(SEARCH("Beam",$L61)),ISNUMBER(SEARCH("Firestorm",$L61))),1, IF(ISNUMBER(SEARCH("Blast",$L61)),(4+$G61+(2-$G61)*0.5)/6*2,(4+$G61)/6)) *
_xlfn.IFS(AM$24-$I61 &lt;=1, 5/6, AM$24-$I61 &lt;=5, (7-(AM$24-$I61))/6, AND(AM$24-$I61 =6,NOT(_xlfn.IFNA(ISNUMBER(SEARCH("Rending",$L61)),FALSE))), (7-(AM$24-$I61))/6, AND(AM$24-$I61 &gt;=7,NOT(_xlfn.IFNA(ISNUMBER(SEARCH("Rending",$L61)),FALSE))), 0, AM$24-$I61 =7, (7-(AM$24-1-$I61))/6, AM$24-$I61 =8, (7-(AM$24-2-$I61))/6*2/3, AM$24-$I61 =9, (7-(AM$24-3-$I61))/6*1/3, TRUE, 0) *
IF(ISNUMBER(SEARCH("Ordinance",$L61)),7/6,1) *
IF(OR(ISNUMBER(SEARCH("Melee",$L61)),ISNUMBER(SEARCH("Bypass",$L61))),1.5,1)</f>
        <v>0.66666666666666663</v>
      </c>
      <c r="AN61" s="17" cm="1">
        <f t="array" ref="AN61">$H61 *
IF(ISNUMBER(SEARCH("Rapid",$L61)),7/6,1) *
IF(OR(ISNUMBER(SEARCH("Beam",$L61)),ISNUMBER(SEARCH("Firestorm",$L61))),1, IF(ISNUMBER(SEARCH("Blast",$L61)),(4+$G61+(2-$G61)*0.5)/6*2,(4+$G61)/6)) *
_xlfn.IFS(AN$24-$I61 &lt;=1, 5/6, AN$24-$I61 &lt;=5, (7-(AN$24-$I61))/6, AND(AN$24-$I61 =6,NOT(_xlfn.IFNA(ISNUMBER(SEARCH("Rending",$L61)),FALSE))), (7-(AN$24-$I61))/6, AND(AN$24-$I61 &gt;=7,NOT(_xlfn.IFNA(ISNUMBER(SEARCH("Rending",$L61)),FALSE))), 0, AN$24-$I61 =7, (7-(AN$24-1-$I61))/6, AN$24-$I61 =8, (7-(AN$24-2-$I61))/6*2/3, AN$24-$I61 =9, (7-(AN$24-3-$I61))/6*1/3, TRUE, 0) *
IF(ISNUMBER(SEARCH("Ordinance",$L61)),7/6,1) *
IF(OR(ISNUMBER(SEARCH("Melee",$L61)),ISNUMBER(SEARCH("Bypass",$L61))),1.5,1)</f>
        <v>0.44444444444444442</v>
      </c>
      <c r="AO61" s="17" cm="1">
        <f t="array" ref="AO61">$H61 *
IF(ISNUMBER(SEARCH("Rapid",$L61)),7/6,1) *
IF(OR(ISNUMBER(SEARCH("Beam",$L61)),ISNUMBER(SEARCH("Firestorm",$L61))),1, IF(ISNUMBER(SEARCH("Blast",$L61)),(4+$G61+(2-$G61)*0.5)/6*2,(4+$G61)/6)) *
_xlfn.IFS(AO$24-$I61 &lt;=1, 5/6, AO$24-$I61 &lt;=5, (7-(AO$24-$I61))/6, AND(AO$24-$I61 =6,NOT(_xlfn.IFNA(ISNUMBER(SEARCH("Rending",$L61)),FALSE))), (7-(AO$24-$I61))/6, AND(AO$24-$I61 &gt;=7,NOT(_xlfn.IFNA(ISNUMBER(SEARCH("Rending",$L61)),FALSE))), 0, AO$24-$I61 =7, (7-(AO$24-1-$I61))/6, AO$24-$I61 =8, (7-(AO$24-2-$I61))/6*2/3, AO$24-$I61 =9, (7-(AO$24-3-$I61))/6*1/3, TRUE, 0) *
IF(ISNUMBER(SEARCH("Ordinance",$L61)),7/6,1) *
IF(OR(ISNUMBER(SEARCH("Melee",$L61)),ISNUMBER(SEARCH("Bypass",$L61))),1.5,1)</f>
        <v>0</v>
      </c>
      <c r="AP61" s="17" cm="1">
        <f t="array" ref="AP61">$H61 *
IF(ISNUMBER(SEARCH("Rapid",$L61)),7/6,1) *
IF(OR(ISNUMBER(SEARCH("Beam",$L61)),ISNUMBER(SEARCH("Firestorm",$L61))),1, IF(ISNUMBER(SEARCH("Blast",$L61)),(4+$G61+(2-$G61)*0.5)/6*2,(4+$G61)/6)) *
_xlfn.IFS(AP$24-$I61 &lt;=1, 5/6, AP$24-$I61 &lt;=5, (7-(AP$24-$I61))/6, AND(AP$24-$I61 =6,NOT(_xlfn.IFNA(ISNUMBER(SEARCH("Rending",$L61)),FALSE))), (7-(AP$24-$I61))/6, AND(AP$24-$I61 &gt;=7,NOT(_xlfn.IFNA(ISNUMBER(SEARCH("Rending",$L61)),FALSE))), 0, AP$24-$I61 =7, (7-(AP$24-1-$I61))/6, AP$24-$I61 =8, (7-(AP$24-2-$I61))/6*2/3, AP$24-$I61 =9, (7-(AP$24-3-$I61))/6*1/3, TRUE, 0) *
IF(ISNUMBER(SEARCH("Ordinance",$L61)),7/6,1) *
IF(OR(ISNUMBER(SEARCH("Melee",$L61)),ISNUMBER(SEARCH("Bypass",$L61))),1.5,1)</f>
        <v>0.22222222222222221</v>
      </c>
      <c r="AQ61" s="17" cm="1">
        <f t="array" ref="AQ61">$H61 *
IF(ISNUMBER(SEARCH("Rapid",$L61)),7/6,1) *
IF(OR(ISNUMBER(SEARCH("Beam",$L61)),ISNUMBER(SEARCH("Firestorm",$L61))),1, IF(ISNUMBER(SEARCH("Blast",$L61)),(4+$G61+(2-$G61)*0.5)/6*2,(4+$G61)/6)) *
_xlfn.IFS(AQ$24-$I61 &lt;=1, 5/6, AQ$24-$I61 &lt;=5, (7-(AQ$24-$I61))/6, AND(AQ$24-$I61 =6,NOT(_xlfn.IFNA(ISNUMBER(SEARCH("Rending",$L61)),FALSE))), (7-(AQ$24-$I61))/6, AND(AQ$24-$I61 &gt;=7,NOT(_xlfn.IFNA(ISNUMBER(SEARCH("Rending",$L61)),FALSE))), 0, AQ$24-$I61 =7, (7-(AQ$24-1-$I61))/6, AQ$24-$I61 =8, (7-(AQ$24-2-$I61))/6*2/3, AQ$24-$I61 =9, (7-(AQ$24-3-$I61))/6*1/3, TRUE, 0) *
IF(ISNUMBER(SEARCH("Ordinance",$L61)),7/6,1) *
IF(OR(ISNUMBER(SEARCH("Melee",$L61)),ISNUMBER(SEARCH("Bypass",$L61))),1.5,1)</f>
        <v>0.14814814814814814</v>
      </c>
      <c r="AS61" s="16">
        <f t="shared" ref="AS61:AS62" si="13">IF($E61=1,AG61*3,IF($E61=2,2*AG61,1.1*AG61))/3</f>
        <v>0.44444444444444442</v>
      </c>
      <c r="AT61" s="16">
        <f t="shared" ref="AT61:AT62" si="14">IF($E61=1,AH61*3,IF($E61=2,2*AH61,1.1*AH61))/3</f>
        <v>0.66666666666666663</v>
      </c>
      <c r="AU61" s="16">
        <f t="shared" ref="AU61:AU62" si="15">IF(D61+E61=3,
 IF(E61=3, 2.5*AI61,
  IF(E61=2, 1.8*AI61+0.7*X61,
   IF(E61=1, 0.95*AI61+1.55*X61,
    2.5*X61))),
 IF(D61+E61=2,
  IF(E61=2, 1.55*AI61,
   IF(E61 =1, 0.85*AI61+0.7*X61,
    1.55*X61)),
  IF(E61=1, 0.95*AI61,
   0.7*X61))
)/3</f>
        <v>0.92592592592592593</v>
      </c>
      <c r="AV61" s="2">
        <v>11</v>
      </c>
    </row>
    <row r="62" spans="1:48" x14ac:dyDescent="0.3">
      <c r="A62" t="s">
        <v>887</v>
      </c>
      <c r="B62" s="3">
        <v>16</v>
      </c>
      <c r="C62" s="3">
        <v>24</v>
      </c>
      <c r="D62" s="3">
        <v>1</v>
      </c>
      <c r="E62" s="3">
        <v>1</v>
      </c>
      <c r="F62" s="10"/>
      <c r="G62" s="10"/>
      <c r="H62" s="3">
        <v>3</v>
      </c>
      <c r="I62" s="3">
        <v>5</v>
      </c>
      <c r="J62" s="3" t="s">
        <v>216</v>
      </c>
      <c r="K62" s="3">
        <v>30</v>
      </c>
      <c r="L62" s="3" t="s">
        <v>262</v>
      </c>
      <c r="M62" s="3" t="s">
        <v>199</v>
      </c>
      <c r="N62" s="3">
        <v>10</v>
      </c>
      <c r="O62" s="3">
        <v>10</v>
      </c>
      <c r="P62" s="3">
        <v>14</v>
      </c>
      <c r="Q62" s="3" t="s">
        <v>200</v>
      </c>
      <c r="R62" s="3">
        <v>7</v>
      </c>
      <c r="S62" s="3">
        <v>9</v>
      </c>
      <c r="T62" s="3">
        <v>4</v>
      </c>
      <c r="V62" s="16">
        <f t="shared" si="1"/>
        <v>1.63</v>
      </c>
      <c r="W62" s="16">
        <f t="shared" si="2"/>
        <v>2.4449999999999998</v>
      </c>
      <c r="X62" s="17" cm="1">
        <f t="array" ref="X62">$H62 *
IF(ISNUMBER(SEARCH("Rapid",$L62)),7/6,1) *
IF(OR(ISNUMBER(SEARCH("Beam",$L62)),ISNUMBER(SEARCH("Firestorm",$L62))),1, IF(ISNUMBER(SEARCH("Blast",$L62)),(4+$F62+(2-$F62)*0.5)/6*2,(4+$F62)/6)) *
IF(ISNUMBER(SEARCH("Fusion",$L62)), _xlfn.IFS(X$24-$I62 &lt;=1, 9/10, X$24-$I62 &lt;=10,(11-(X$24-$I62))/10, X$24-$I62 &gt;=11, 0),
_xlfn.IFS(X$24-$I62 &lt;=1, 5/6, X$24-$I62 &lt;=5, (7-(X$24-$I62))/6, AND(X$24-$I62 =6,NOT(_xlfn.IFNA(ISNUMBER(SEARCH("Rending",$L62)),FALSE))), (7-(X$24-$I62))/6, AND(X$24-$I62 &gt;=7,NOT(_xlfn.IFNA(ISNUMBER(SEARCH("Rending",$L62)),FALSE))), 0, X$24-$I62 =7, (7-(X$24-1-$I62))/6, X$24-$I62 =8, (7-(X$24-2-$I62))/6*2/3, X$24-$I62 =9, (7-(X$24-3-$I62))/6*1/3, TRUE, 0)) *
IF(ISNUMBER(SEARCH("Ordinance",$L62)),7/6,1) *
IF(OR(ISNUMBER(SEARCH("Melee",$L62)),ISNUMBER(SEARCH("Bypass",$L62))),1.5,1)</f>
        <v>1.5</v>
      </c>
      <c r="Y62" s="17" cm="1">
        <f t="array" ref="Y62">$H62 *
IF(ISNUMBER(SEARCH("Rapid",$L62)),7/6,1) *
IF(OR(ISNUMBER(SEARCH("Beam",$L62)),ISNUMBER(SEARCH("Firestorm",$L62))),1, IF(ISNUMBER(SEARCH("Blast",$L62)),(4+$F62+(2-$F62)*0.5)/6*2,(4+$F62)/6)) *
IF(ISNUMBER(SEARCH("Fusion",$L62)), _xlfn.IFS(Y$24-$I62 &lt;=1, 9/10, Y$24-$I62 &lt;=10,(11-(Y$24-$I62))/10, Y$24-$I62 &gt;=11, 0),
_xlfn.IFS(Y$24-$I62 &lt;=1, 5/6, Y$24-$I62 &lt;=5, (7-(Y$24-$I62))/6, AND(Y$24-$I62 =6,NOT(_xlfn.IFNA(ISNUMBER(SEARCH("Rending",$L62)),FALSE))), (7-(Y$24-$I62))/6, AND(Y$24-$I62 &gt;=7,NOT(_xlfn.IFNA(ISNUMBER(SEARCH("Rending",$L62)),FALSE))), 0, Y$24-$I62 =7, (7-(Y$24-1-$I62))/6, Y$24-$I62 =8, (7-(Y$24-2-$I62))/6*2/3, Y$24-$I62 =9, (7-(Y$24-3-$I62))/6*1/3, TRUE, 0)) *
IF(ISNUMBER(SEARCH("Ordinance",$L62)),7/6,1) *
IF(OR(ISNUMBER(SEARCH("Melee",$L62)),ISNUMBER(SEARCH("Bypass",$L62))),1.5,1)</f>
        <v>1</v>
      </c>
      <c r="Z62" s="17" cm="1">
        <f t="array" ref="Z62">$H62 *
IF(ISNUMBER(SEARCH("Rapid",$L62)),7/6,1) *
IF(OR(ISNUMBER(SEARCH("Beam",$L62)),ISNUMBER(SEARCH("Firestorm",$L62))),1, IF(ISNUMBER(SEARCH("Blast",$L62)),(4+$F62+(2-$F62)*0.5)/6*2,(4+$F62)/6)) *
IF(ISNUMBER(SEARCH("Fusion",$L62)), _xlfn.IFS(Z$24-$I62 &lt;=1, 9/10, Z$24-$I62 &lt;=10,(11-(Z$24-$I62))/10, Z$24-$I62 &gt;=11, 0),
_xlfn.IFS(Z$24-$I62 &lt;=1, 5/6, Z$24-$I62 &lt;=5, (7-(Z$24-$I62))/6, AND(Z$24-$I62 =6,NOT(_xlfn.IFNA(ISNUMBER(SEARCH("Rending",$L62)),FALSE))), (7-(Z$24-$I62))/6, AND(Z$24-$I62 &gt;=7,NOT(_xlfn.IFNA(ISNUMBER(SEARCH("Rending",$L62)),FALSE))), 0, Z$24-$I62 =7, (7-(Z$24-1-$I62))/6, Z$24-$I62 =8, (7-(Z$24-2-$I62))/6*2/3, Z$24-$I62 =9, (7-(Z$24-3-$I62))/6*1/3, TRUE, 0)) *
IF(ISNUMBER(SEARCH("Ordinance",$L62)),7/6,1) *
IF(OR(ISNUMBER(SEARCH("Melee",$L62)),ISNUMBER(SEARCH("Bypass",$L62))),1.5,1)</f>
        <v>0.5</v>
      </c>
      <c r="AA62" s="17" cm="1">
        <f t="array" ref="AA62">$H62 *
IF(ISNUMBER(SEARCH("Rapid",$L62)),7/6,1) *
IF(OR(ISNUMBER(SEARCH("Beam",$L62)),ISNUMBER(SEARCH("Firestorm",$L62))),1, IF(ISNUMBER(SEARCH("Blast",$L62)),(4+$F62+(2-$F62)*0.5)/6*2,(4+$F62)/6)) *
IF(ISNUMBER(SEARCH("Fusion",$L62)), _xlfn.IFS(AA$24-$I62 &lt;=1, 9/10, AA$24-$I62 &lt;=10,(11-(AA$24-$I62))/10, AA$24-$I62 &gt;=11, 0),
_xlfn.IFS(AA$24-$I62 &lt;=1, 5/6, AA$24-$I62 &lt;=5, (7-(AA$24-$I62))/6, AND(AA$24-$I62 =6,NOT(_xlfn.IFNA(ISNUMBER(SEARCH("Rending",$L62)),FALSE))), (7-(AA$24-$I62))/6, AND(AA$24-$I62 &gt;=7,NOT(_xlfn.IFNA(ISNUMBER(SEARCH("Rending",$L62)),FALSE))), 0, AA$24-$I62 =7, (7-(AA$24-1-$I62))/6, AA$24-$I62 =8, (7-(AA$24-2-$I62))/6*2/3, AA$24-$I62 =9, (7-(AA$24-3-$I62))/6*1/3, TRUE, 0)) *
IF(ISNUMBER(SEARCH("Ordinance",$L62)),7/6,1) *
IF(OR(ISNUMBER(SEARCH("Melee",$L62)),ISNUMBER(SEARCH("Bypass",$L62))),1.5,1)</f>
        <v>0</v>
      </c>
      <c r="AB62" s="17" cm="1">
        <f t="array" ref="AB62">$H62 *
IF(ISNUMBER(SEARCH("Rapid",$L62)),7/6,1) *
IF(OR(ISNUMBER(SEARCH("Beam",$L62)),ISNUMBER(SEARCH("Firestorm",$L62))),1, IF(ISNUMBER(SEARCH("Blast",$L62)),(4+$F62+(2-$F62)*0.5)/6*2,(4+$F62)/6)) *
IF(ISNUMBER(SEARCH("Fusion",$L62)), _xlfn.IFS(AB$24-$I62 &lt;=1, 9/10, AB$24-$I62 &lt;=10,(11-(AB$24-$I62))/10, AB$24-$I62 &gt;=11, 0),
_xlfn.IFS(AB$24-$I62 &lt;=1, 5/6, AB$24-$I62 &lt;=5, (7-(AB$24-$I62))/6, AND(AB$24-$I62 =6,NOT(_xlfn.IFNA(ISNUMBER(SEARCH("Rending",$L62)),FALSE))), (7-(AB$24-$I62))/6, AND(AB$24-$I62 &gt;=7,NOT(_xlfn.IFNA(ISNUMBER(SEARCH("Rending",$L62)),FALSE))), 0, AB$24-$I62 =7, (7-(AB$24-1-$I62))/6, AB$24-$I62 =8, (7-(AB$24-2-$I62))/6*2/3, AB$24-$I62 =9, (7-(AB$24-3-$I62))/6*1/3, TRUE, 0)) *
IF(ISNUMBER(SEARCH("Ordinance",$L62)),7/6,1) *
IF(OR(ISNUMBER(SEARCH("Melee",$L62)),ISNUMBER(SEARCH("Bypass",$L62))),1.5,1)</f>
        <v>0</v>
      </c>
      <c r="AC62" s="17" cm="1">
        <f t="array" ref="AC62">$H62 *
IF(ISNUMBER(SEARCH("Rapid",$L62)),7/6,1) *
IF(OR(ISNUMBER(SEARCH("Beam",$L62)),ISNUMBER(SEARCH("Firestorm",$L62))),1, IF(ISNUMBER(SEARCH("Blast",$L62)),(4+$F62+(2-$F62)*0.5)/6*2,(4+$F62)/6)) *
IF(ISNUMBER(SEARCH("Fusion",$L62)), _xlfn.IFS(AC$24-$I62 &lt;=1, 9/10, AC$24-$I62 &lt;=10,(11-(AC$24-$I62))/10, AC$24-$I62 &gt;=11, 0),
_xlfn.IFS(AC$24-$I62 &lt;=1, 5/6, AC$24-$I62 &lt;=5, (7-(AC$24-$I62))/6, AND(AC$24-$I62 =6,NOT(_xlfn.IFNA(ISNUMBER(SEARCH("Rending",$L62)),FALSE))), (7-(AC$24-$I62))/6, AND(AC$24-$I62 &gt;=7,NOT(_xlfn.IFNA(ISNUMBER(SEARCH("Rending",$L62)),FALSE))), 0, AC$24-$I62 =7, (7-(AC$24-1-$I62))/6, AC$24-$I62 =8, (7-(AC$24-2-$I62))/6*2/3, AC$24-$I62 =9, (7-(AC$24-3-$I62))/6*1/3, TRUE, 0)) *
IF(ISNUMBER(SEARCH("Ordinance",$L62)),7/6,1) *
IF(OR(ISNUMBER(SEARCH("Melee",$L62)),ISNUMBER(SEARCH("Bypass",$L62))),1.5,1)</f>
        <v>0</v>
      </c>
      <c r="AD62" s="17" cm="1">
        <f t="array" ref="AD62">$H62 *
IF(ISNUMBER(SEARCH("Rapid",$L62)),7/6,1) *
IF(OR(ISNUMBER(SEARCH("Beam",$L62)),ISNUMBER(SEARCH("Firestorm",$L62))),1, IF(ISNUMBER(SEARCH("Blast",$L62)),(4+$F62+(2-$F62)*0.5)/6*2,(4+$F62)/6)) *
IF(ISNUMBER(SEARCH("Fusion",$L62)), _xlfn.IFS(AD$24-$I62 &lt;=1, 9/10, AD$24-$I62 &lt;=10,(11-(AD$24-$I62))/10, AD$24-$I62 &gt;=11, 0),
_xlfn.IFS(AD$24-$I62 &lt;=1, 5/6, AD$24-$I62 &lt;=5, (7-(AD$24-$I62))/6, AND(AD$24-$I62 =6,NOT(_xlfn.IFNA(ISNUMBER(SEARCH("Rending",$L62)),FALSE))), (7-(AD$24-$I62))/6, AND(AD$24-$I62 &gt;=7,NOT(_xlfn.IFNA(ISNUMBER(SEARCH("Rending",$L62)),FALSE))), 0, AD$24-$I62 =7, (7-(AD$24-1-$I62))/6, AD$24-$I62 =8, (7-(AD$24-2-$I62))/6*2/3, AD$24-$I62 =9, (7-(AD$24-3-$I62))/6*1/3, TRUE, 0)) *
IF(ISNUMBER(SEARCH("Ordinance",$L62)),7/6,1) *
IF(OR(ISNUMBER(SEARCH("Melee",$L62)),ISNUMBER(SEARCH("Bypass",$L62))),1.5,1)</f>
        <v>0</v>
      </c>
      <c r="AE62" s="17" cm="1">
        <f t="array" ref="AE62">$H62 *
IF(ISNUMBER(SEARCH("Rapid",$L62)),7/6,1) *
IF(OR(ISNUMBER(SEARCH("Beam",$L62)),ISNUMBER(SEARCH("Firestorm",$L62))),1, IF(ISNUMBER(SEARCH("Blast",$L62)),(4+$F62+(2-$F62)*0.5)/6*2,(4+$F62)/6)) *
IF(ISNUMBER(SEARCH("Fusion",$L62)), _xlfn.IFS(AE$24-$I62 &lt;=1, 9/10, AE$24-$I62 &lt;=10,(11-(AE$24-$I62))/10, AE$24-$I62 &gt;=11, 0),
_xlfn.IFS(AE$24-$I62 &lt;=1, 5/6, AE$24-$I62 &lt;=5, (7-(AE$24-$I62))/6, AND(AE$24-$I62 =6,NOT(_xlfn.IFNA(ISNUMBER(SEARCH("Rending",$L62)),FALSE))), (7-(AE$24-$I62))/6, AND(AE$24-$I62 &gt;=7,NOT(_xlfn.IFNA(ISNUMBER(SEARCH("Rending",$L62)),FALSE))), 0, AE$24-$I62 =7, (7-(AE$24-1-$I62))/6, AE$24-$I62 =8, (7-(AE$24-2-$I62))/6*2/3, AE$24-$I62 =9, (7-(AE$24-3-$I62))/6*1/3, TRUE, 0)) *
IF(ISNUMBER(SEARCH("Ordinance",$L62)),7/6,1) *
IF(OR(ISNUMBER(SEARCH("Melee",$L62)),ISNUMBER(SEARCH("Bypass",$L62))),1.5,1)</f>
        <v>0</v>
      </c>
      <c r="AF62" s="17" cm="1">
        <f t="array" ref="AF62">$H62 *
IF(ISNUMBER(SEARCH("Rapid",$L62)),7/6,1) *
IF(OR(ISNUMBER(SEARCH("Beam",$L62)),ISNUMBER(SEARCH("Firestorm",$L62))),1, IF(ISNUMBER(SEARCH("Blast",$L62)),(4+$F62+(2-$F62)*0.5)/6*2,(4+$F62)/6)) *
IF(ISNUMBER(SEARCH("Fusion",$L62)), _xlfn.IFS(AF$24-$I62 &lt;=1, 9/10, AF$24-$I62 &lt;=10,(11-(AF$24-$I62))/10, AF$24-$I62 &gt;=11, 0),
_xlfn.IFS(AF$24-$I62 &lt;=1, 5/6, AF$24-$I62 &lt;=5, (7-(AF$24-$I62))/6, AND(AF$24-$I62 =6,NOT(_xlfn.IFNA(ISNUMBER(SEARCH("Rending",$L62)),FALSE))), (7-(AF$24-$I62))/6, AND(AF$24-$I62 &gt;=7,NOT(_xlfn.IFNA(ISNUMBER(SEARCH("Rending",$L62)),FALSE))), 0, AF$24-$I62 =7, (7-(AF$24-1-$I62))/6, AF$24-$I62 =8, (7-(AF$24-2-$I62))/6*2/3, AF$24-$I62 =9, (7-(AF$24-3-$I62))/6*1/3, TRUE, 0)) *
IF(ISNUMBER(SEARCH("Ordinance",$L62)),7/6,1) *
IF(OR(ISNUMBER(SEARCH("Melee",$L62)),ISNUMBER(SEARCH("Bypass",$L62))),1.5,1)</f>
        <v>0</v>
      </c>
      <c r="AG62" s="16">
        <f t="shared" si="3"/>
        <v>1.63</v>
      </c>
      <c r="AH62" s="16">
        <f t="shared" si="4"/>
        <v>2.4449999999999998</v>
      </c>
      <c r="AI62" s="17" cm="1">
        <f t="array" ref="AI62">$H62 *
IF(ISNUMBER(SEARCH("Rapid",$L62)),7/6,1) *
IF(OR(ISNUMBER(SEARCH("Beam",$L62)),ISNUMBER(SEARCH("Firestorm",$L62))),1, IF(ISNUMBER(SEARCH("Blast",$L62)),(4+$G62+(2-$G62)*0.5)/6*2,(4+$G62)/6)) *
_xlfn.IFS(AI$24-$I62 &lt;=1, 5/6, AI$24-$I62 &lt;=5, (7-(AI$24-$I62))/6, AND(AI$24-$I62 =6,NOT(_xlfn.IFNA(ISNUMBER(SEARCH("Rending",$L62)),FALSE))), (7-(AI$24-$I62))/6, AND(AI$24-$I62 &gt;=7,NOT(_xlfn.IFNA(ISNUMBER(SEARCH("Rending",$L62)),FALSE))), 0, AI$24-$I62 =7, (7-(AI$24-1-$I62))/6, AI$24-$I62 =8, (7-(AI$24-2-$I62))/6*2/3, AI$24-$I62 =9, (7-(AI$24-3-$I62))/6*1/3, TRUE, 0) *
IF(ISNUMBER(SEARCH("Ordinance",$L62)),7/6,1) *
IF(OR(ISNUMBER(SEARCH("Melee",$L62)),ISNUMBER(SEARCH("Bypass",$L62))),1.5,1)</f>
        <v>1.5</v>
      </c>
      <c r="AJ62" s="17" cm="1">
        <f t="array" ref="AJ62">$H62 *
IF(ISNUMBER(SEARCH("Rapid",$L62)),7/6,1) *
IF(OR(ISNUMBER(SEARCH("Beam",$L62)),ISNUMBER(SEARCH("Firestorm",$L62))),1, IF(ISNUMBER(SEARCH("Blast",$L62)),(4+$G62+(2-$G62)*0.5)/6*2,(4+$G62)/6)) *
_xlfn.IFS(AJ$24-$I62 &lt;=1, 5/6, AJ$24-$I62 &lt;=5, (7-(AJ$24-$I62))/6, AND(AJ$24-$I62 =6,NOT(_xlfn.IFNA(ISNUMBER(SEARCH("Rending",$L62)),FALSE))), (7-(AJ$24-$I62))/6, AND(AJ$24-$I62 &gt;=7,NOT(_xlfn.IFNA(ISNUMBER(SEARCH("Rending",$L62)),FALSE))), 0, AJ$24-$I62 =7, (7-(AJ$24-1-$I62))/6, AJ$24-$I62 =8, (7-(AJ$24-2-$I62))/6*2/3, AJ$24-$I62 =9, (7-(AJ$24-3-$I62))/6*1/3, TRUE, 0) *
IF(ISNUMBER(SEARCH("Ordinance",$L62)),7/6,1) *
IF(OR(ISNUMBER(SEARCH("Melee",$L62)),ISNUMBER(SEARCH("Bypass",$L62))),1.5,1)</f>
        <v>1</v>
      </c>
      <c r="AK62" s="17" cm="1">
        <f t="array" ref="AK62">$H62 *
IF(ISNUMBER(SEARCH("Rapid",$L62)),7/6,1) *
IF(OR(ISNUMBER(SEARCH("Beam",$L62)),ISNUMBER(SEARCH("Firestorm",$L62))),1, IF(ISNUMBER(SEARCH("Blast",$L62)),(4+$G62+(2-$G62)*0.5)/6*2,(4+$G62)/6)) *
_xlfn.IFS(AK$24-$I62 &lt;=1, 5/6, AK$24-$I62 &lt;=5, (7-(AK$24-$I62))/6, AND(AK$24-$I62 =6,NOT(_xlfn.IFNA(ISNUMBER(SEARCH("Rending",$L62)),FALSE))), (7-(AK$24-$I62))/6, AND(AK$24-$I62 &gt;=7,NOT(_xlfn.IFNA(ISNUMBER(SEARCH("Rending",$L62)),FALSE))), 0, AK$24-$I62 =7, (7-(AK$24-1-$I62))/6, AK$24-$I62 =8, (7-(AK$24-2-$I62))/6*2/3, AK$24-$I62 =9, (7-(AK$24-3-$I62))/6*1/3, TRUE, 0) *
IF(ISNUMBER(SEARCH("Ordinance",$L62)),7/6,1) *
IF(OR(ISNUMBER(SEARCH("Melee",$L62)),ISNUMBER(SEARCH("Bypass",$L62))),1.5,1)</f>
        <v>0.5</v>
      </c>
      <c r="AL62" s="17" cm="1">
        <f t="array" ref="AL62">$H62 *
IF(ISNUMBER(SEARCH("Rapid",$L62)),7/6,1) *
IF(OR(ISNUMBER(SEARCH("Beam",$L62)),ISNUMBER(SEARCH("Firestorm",$L62))),1, IF(ISNUMBER(SEARCH("Blast",$L62)),(4+$G62+(2-$G62)*0.5)/6*2,(4+$G62)/6)) *
_xlfn.IFS(AL$24-$I62 &lt;=1, 5/6, AL$24-$I62 &lt;=5, (7-(AL$24-$I62))/6, AND(AL$24-$I62 =6,NOT(_xlfn.IFNA(ISNUMBER(SEARCH("Rending",$L62)),FALSE))), (7-(AL$24-$I62))/6, AND(AL$24-$I62 &gt;=7,NOT(_xlfn.IFNA(ISNUMBER(SEARCH("Rending",$L62)),FALSE))), 0, AL$24-$I62 =7, (7-(AL$24-1-$I62))/6, AL$24-$I62 =8, (7-(AL$24-2-$I62))/6*2/3, AL$24-$I62 =9, (7-(AL$24-3-$I62))/6*1/3, TRUE, 0) *
IF(ISNUMBER(SEARCH("Ordinance",$L62)),7/6,1) *
IF(OR(ISNUMBER(SEARCH("Melee",$L62)),ISNUMBER(SEARCH("Bypass",$L62))),1.5,1)</f>
        <v>0</v>
      </c>
      <c r="AM62" s="17" cm="1">
        <f t="array" ref="AM62">$H62 *
IF(ISNUMBER(SEARCH("Rapid",$L62)),7/6,1) *
IF(OR(ISNUMBER(SEARCH("Beam",$L62)),ISNUMBER(SEARCH("Firestorm",$L62))),1, IF(ISNUMBER(SEARCH("Blast",$L62)),(4+$G62+(2-$G62)*0.5)/6*2,(4+$G62)/6)) *
_xlfn.IFS(AM$24-$I62 &lt;=1, 5/6, AM$24-$I62 &lt;=5, (7-(AM$24-$I62))/6, AND(AM$24-$I62 =6,NOT(_xlfn.IFNA(ISNUMBER(SEARCH("Rending",$L62)),FALSE))), (7-(AM$24-$I62))/6, AND(AM$24-$I62 &gt;=7,NOT(_xlfn.IFNA(ISNUMBER(SEARCH("Rending",$L62)),FALSE))), 0, AM$24-$I62 =7, (7-(AM$24-1-$I62))/6, AM$24-$I62 =8, (7-(AM$24-2-$I62))/6*2/3, AM$24-$I62 =9, (7-(AM$24-3-$I62))/6*1/3, TRUE, 0) *
IF(ISNUMBER(SEARCH("Ordinance",$L62)),7/6,1) *
IF(OR(ISNUMBER(SEARCH("Melee",$L62)),ISNUMBER(SEARCH("Bypass",$L62))),1.5,1)</f>
        <v>0</v>
      </c>
      <c r="AN62" s="17" cm="1">
        <f t="array" ref="AN62">$H62 *
IF(ISNUMBER(SEARCH("Rapid",$L62)),7/6,1) *
IF(OR(ISNUMBER(SEARCH("Beam",$L62)),ISNUMBER(SEARCH("Firestorm",$L62))),1, IF(ISNUMBER(SEARCH("Blast",$L62)),(4+$G62+(2-$G62)*0.5)/6*2,(4+$G62)/6)) *
_xlfn.IFS(AN$24-$I62 &lt;=1, 5/6, AN$24-$I62 &lt;=5, (7-(AN$24-$I62))/6, AND(AN$24-$I62 =6,NOT(_xlfn.IFNA(ISNUMBER(SEARCH("Rending",$L62)),FALSE))), (7-(AN$24-$I62))/6, AND(AN$24-$I62 &gt;=7,NOT(_xlfn.IFNA(ISNUMBER(SEARCH("Rending",$L62)),FALSE))), 0, AN$24-$I62 =7, (7-(AN$24-1-$I62))/6, AN$24-$I62 =8, (7-(AN$24-2-$I62))/6*2/3, AN$24-$I62 =9, (7-(AN$24-3-$I62))/6*1/3, TRUE, 0) *
IF(ISNUMBER(SEARCH("Ordinance",$L62)),7/6,1) *
IF(OR(ISNUMBER(SEARCH("Melee",$L62)),ISNUMBER(SEARCH("Bypass",$L62))),1.5,1)</f>
        <v>0</v>
      </c>
      <c r="AO62" s="17" cm="1">
        <f t="array" ref="AO62">$H62 *
IF(ISNUMBER(SEARCH("Rapid",$L62)),7/6,1) *
IF(OR(ISNUMBER(SEARCH("Beam",$L62)),ISNUMBER(SEARCH("Firestorm",$L62))),1, IF(ISNUMBER(SEARCH("Blast",$L62)),(4+$G62+(2-$G62)*0.5)/6*2,(4+$G62)/6)) *
_xlfn.IFS(AO$24-$I62 &lt;=1, 5/6, AO$24-$I62 &lt;=5, (7-(AO$24-$I62))/6, AND(AO$24-$I62 =6,NOT(_xlfn.IFNA(ISNUMBER(SEARCH("Rending",$L62)),FALSE))), (7-(AO$24-$I62))/6, AND(AO$24-$I62 &gt;=7,NOT(_xlfn.IFNA(ISNUMBER(SEARCH("Rending",$L62)),FALSE))), 0, AO$24-$I62 =7, (7-(AO$24-1-$I62))/6, AO$24-$I62 =8, (7-(AO$24-2-$I62))/6*2/3, AO$24-$I62 =9, (7-(AO$24-3-$I62))/6*1/3, TRUE, 0) *
IF(ISNUMBER(SEARCH("Ordinance",$L62)),7/6,1) *
IF(OR(ISNUMBER(SEARCH("Melee",$L62)),ISNUMBER(SEARCH("Bypass",$L62))),1.5,1)</f>
        <v>0</v>
      </c>
      <c r="AP62" s="17" cm="1">
        <f t="array" ref="AP62">$H62 *
IF(ISNUMBER(SEARCH("Rapid",$L62)),7/6,1) *
IF(OR(ISNUMBER(SEARCH("Beam",$L62)),ISNUMBER(SEARCH("Firestorm",$L62))),1, IF(ISNUMBER(SEARCH("Blast",$L62)),(4+$G62+(2-$G62)*0.5)/6*2,(4+$G62)/6)) *
_xlfn.IFS(AP$24-$I62 &lt;=1, 5/6, AP$24-$I62 &lt;=5, (7-(AP$24-$I62))/6, AND(AP$24-$I62 =6,NOT(_xlfn.IFNA(ISNUMBER(SEARCH("Rending",$L62)),FALSE))), (7-(AP$24-$I62))/6, AND(AP$24-$I62 &gt;=7,NOT(_xlfn.IFNA(ISNUMBER(SEARCH("Rending",$L62)),FALSE))), 0, AP$24-$I62 =7, (7-(AP$24-1-$I62))/6, AP$24-$I62 =8, (7-(AP$24-2-$I62))/6*2/3, AP$24-$I62 =9, (7-(AP$24-3-$I62))/6*1/3, TRUE, 0) *
IF(ISNUMBER(SEARCH("Ordinance",$L62)),7/6,1) *
IF(OR(ISNUMBER(SEARCH("Melee",$L62)),ISNUMBER(SEARCH("Bypass",$L62))),1.5,1)</f>
        <v>0</v>
      </c>
      <c r="AQ62" s="17" cm="1">
        <f t="array" ref="AQ62">$H62 *
IF(ISNUMBER(SEARCH("Rapid",$L62)),7/6,1) *
IF(OR(ISNUMBER(SEARCH("Beam",$L62)),ISNUMBER(SEARCH("Firestorm",$L62))),1, IF(ISNUMBER(SEARCH("Blast",$L62)),(4+$G62+(2-$G62)*0.5)/6*2,(4+$G62)/6)) *
_xlfn.IFS(AQ$24-$I62 &lt;=1, 5/6, AQ$24-$I62 &lt;=5, (7-(AQ$24-$I62))/6, AND(AQ$24-$I62 =6,NOT(_xlfn.IFNA(ISNUMBER(SEARCH("Rending",$L62)),FALSE))), (7-(AQ$24-$I62))/6, AND(AQ$24-$I62 &gt;=7,NOT(_xlfn.IFNA(ISNUMBER(SEARCH("Rending",$L62)),FALSE))), 0, AQ$24-$I62 =7, (7-(AQ$24-1-$I62))/6, AQ$24-$I62 =8, (7-(AQ$24-2-$I62))/6*2/3, AQ$24-$I62 =9, (7-(AQ$24-3-$I62))/6*1/3, TRUE, 0) *
IF(ISNUMBER(SEARCH("Ordinance",$L62)),7/6,1) *
IF(OR(ISNUMBER(SEARCH("Melee",$L62)),ISNUMBER(SEARCH("Bypass",$L62))),1.5,1)</f>
        <v>0</v>
      </c>
      <c r="AS62" s="16">
        <f t="shared" si="13"/>
        <v>1.63</v>
      </c>
      <c r="AT62" s="16">
        <f t="shared" si="14"/>
        <v>2.4449999999999998</v>
      </c>
      <c r="AU62" s="16">
        <f t="shared" si="15"/>
        <v>0.77499999999999991</v>
      </c>
      <c r="AV62" s="2">
        <v>12</v>
      </c>
    </row>
    <row r="63" spans="1:48" x14ac:dyDescent="0.3">
      <c r="A63" t="s">
        <v>175</v>
      </c>
      <c r="B63" s="3">
        <v>18</v>
      </c>
      <c r="C63" s="3">
        <v>32</v>
      </c>
      <c r="D63" s="3">
        <v>1</v>
      </c>
      <c r="E63" s="3">
        <v>2</v>
      </c>
      <c r="F63" s="10"/>
      <c r="G63" s="10"/>
      <c r="H63" s="3">
        <v>2</v>
      </c>
      <c r="I63" s="3">
        <v>8</v>
      </c>
      <c r="J63" s="3" t="s">
        <v>215</v>
      </c>
      <c r="K63" s="3">
        <v>20</v>
      </c>
      <c r="L63" s="3" t="s">
        <v>224</v>
      </c>
      <c r="M63" s="3" t="s">
        <v>225</v>
      </c>
      <c r="N63" s="3">
        <v>10</v>
      </c>
      <c r="O63" s="3">
        <v>10</v>
      </c>
      <c r="P63" s="3">
        <v>14</v>
      </c>
      <c r="Q63" s="3" t="s">
        <v>200</v>
      </c>
      <c r="R63" s="3">
        <v>7</v>
      </c>
      <c r="S63" s="3">
        <v>9</v>
      </c>
      <c r="T63" s="3">
        <v>4</v>
      </c>
      <c r="V63" s="16">
        <f t="shared" si="1"/>
        <v>0.66666666666666663</v>
      </c>
      <c r="W63" s="16">
        <f t="shared" si="2"/>
        <v>0.88888888888888884</v>
      </c>
      <c r="X63" s="17" cm="1">
        <f t="array" ref="X63">$H63 *
IF(ISNUMBER(SEARCH("Rapid",$L63)),7/6,1) *
IF(OR(ISNUMBER(SEARCH("Beam",$L63)),ISNUMBER(SEARCH("Firestorm",$L63))),1, IF(ISNUMBER(SEARCH("Blast",$L63)),(4+$F63+(2-$F63)*0.5)/6*2,(4+$F63)/6)) *
IF(ISNUMBER(SEARCH("Fusion",$L63)), _xlfn.IFS(X$24-$I63 &lt;=1, 9/10, X$24-$I63 &lt;=10,(11-(X$24-$I63))/10, X$24-$I63 &gt;=11, 0),
_xlfn.IFS(X$24-$I63 &lt;=1, 5/6, X$24-$I63 &lt;=5, (7-(X$24-$I63))/6, AND(X$24-$I63 =6,NOT(_xlfn.IFNA(ISNUMBER(SEARCH("Rending",$L63)),FALSE))), (7-(X$24-$I63))/6, AND(X$24-$I63 &gt;=7,NOT(_xlfn.IFNA(ISNUMBER(SEARCH("Rending",$L63)),FALSE))), 0, X$24-$I63 =7, (7-(X$24-1-$I63))/6, X$24-$I63 =8, (7-(X$24-2-$I63))/6*2/3, X$24-$I63 =9, (7-(X$24-3-$I63))/6*1/3, TRUE, 0)) *
IF(ISNUMBER(SEARCH("Ordinance",$L63)),7/6,1) *
IF(OR(ISNUMBER(SEARCH("Melee",$L63)),ISNUMBER(SEARCH("Bypass",$L63))),1.5,1)</f>
        <v>1.1111111111111112</v>
      </c>
      <c r="Y63" s="17" cm="1">
        <f t="array" ref="Y63">$H63 *
IF(ISNUMBER(SEARCH("Rapid",$L63)),7/6,1) *
IF(OR(ISNUMBER(SEARCH("Beam",$L63)),ISNUMBER(SEARCH("Firestorm",$L63))),1, IF(ISNUMBER(SEARCH("Blast",$L63)),(4+$F63+(2-$F63)*0.5)/6*2,(4+$F63)/6)) *
IF(ISNUMBER(SEARCH("Fusion",$L63)), _xlfn.IFS(Y$24-$I63 &lt;=1, 9/10, Y$24-$I63 &lt;=10,(11-(Y$24-$I63))/10, Y$24-$I63 &gt;=11, 0),
_xlfn.IFS(Y$24-$I63 &lt;=1, 5/6, Y$24-$I63 &lt;=5, (7-(Y$24-$I63))/6, AND(Y$24-$I63 =6,NOT(_xlfn.IFNA(ISNUMBER(SEARCH("Rending",$L63)),FALSE))), (7-(Y$24-$I63))/6, AND(Y$24-$I63 &gt;=7,NOT(_xlfn.IFNA(ISNUMBER(SEARCH("Rending",$L63)),FALSE))), 0, Y$24-$I63 =7, (7-(Y$24-1-$I63))/6, Y$24-$I63 =8, (7-(Y$24-2-$I63))/6*2/3, Y$24-$I63 =9, (7-(Y$24-3-$I63))/6*1/3, TRUE, 0)) *
IF(ISNUMBER(SEARCH("Ordinance",$L63)),7/6,1) *
IF(OR(ISNUMBER(SEARCH("Melee",$L63)),ISNUMBER(SEARCH("Bypass",$L63))),1.5,1)</f>
        <v>1.1111111111111112</v>
      </c>
      <c r="Z63" s="17" cm="1">
        <f t="array" ref="Z63">$H63 *
IF(ISNUMBER(SEARCH("Rapid",$L63)),7/6,1) *
IF(OR(ISNUMBER(SEARCH("Beam",$L63)),ISNUMBER(SEARCH("Firestorm",$L63))),1, IF(ISNUMBER(SEARCH("Blast",$L63)),(4+$F63+(2-$F63)*0.5)/6*2,(4+$F63)/6)) *
IF(ISNUMBER(SEARCH("Fusion",$L63)), _xlfn.IFS(Z$24-$I63 &lt;=1, 9/10, Z$24-$I63 &lt;=10,(11-(Z$24-$I63))/10, Z$24-$I63 &gt;=11, 0),
_xlfn.IFS(Z$24-$I63 &lt;=1, 5/6, Z$24-$I63 &lt;=5, (7-(Z$24-$I63))/6, AND(Z$24-$I63 =6,NOT(_xlfn.IFNA(ISNUMBER(SEARCH("Rending",$L63)),FALSE))), (7-(Z$24-$I63))/6, AND(Z$24-$I63 &gt;=7,NOT(_xlfn.IFNA(ISNUMBER(SEARCH("Rending",$L63)),FALSE))), 0, Z$24-$I63 =7, (7-(Z$24-1-$I63))/6, Z$24-$I63 =8, (7-(Z$24-2-$I63))/6*2/3, Z$24-$I63 =9, (7-(Z$24-3-$I63))/6*1/3, TRUE, 0)) *
IF(ISNUMBER(SEARCH("Ordinance",$L63)),7/6,1) *
IF(OR(ISNUMBER(SEARCH("Melee",$L63)),ISNUMBER(SEARCH("Bypass",$L63))),1.5,1)</f>
        <v>0.88888888888888884</v>
      </c>
      <c r="AA63" s="17" cm="1">
        <f t="array" ref="AA63">$H63 *
IF(ISNUMBER(SEARCH("Rapid",$L63)),7/6,1) *
IF(OR(ISNUMBER(SEARCH("Beam",$L63)),ISNUMBER(SEARCH("Firestorm",$L63))),1, IF(ISNUMBER(SEARCH("Blast",$L63)),(4+$F63+(2-$F63)*0.5)/6*2,(4+$F63)/6)) *
IF(ISNUMBER(SEARCH("Fusion",$L63)), _xlfn.IFS(AA$24-$I63 &lt;=1, 9/10, AA$24-$I63 &lt;=10,(11-(AA$24-$I63))/10, AA$24-$I63 &gt;=11, 0),
_xlfn.IFS(AA$24-$I63 &lt;=1, 5/6, AA$24-$I63 &lt;=5, (7-(AA$24-$I63))/6, AND(AA$24-$I63 =6,NOT(_xlfn.IFNA(ISNUMBER(SEARCH("Rending",$L63)),FALSE))), (7-(AA$24-$I63))/6, AND(AA$24-$I63 &gt;=7,NOT(_xlfn.IFNA(ISNUMBER(SEARCH("Rending",$L63)),FALSE))), 0, AA$24-$I63 =7, (7-(AA$24-1-$I63))/6, AA$24-$I63 =8, (7-(AA$24-2-$I63))/6*2/3, AA$24-$I63 =9, (7-(AA$24-3-$I63))/6*1/3, TRUE, 0)) *
IF(ISNUMBER(SEARCH("Ordinance",$L63)),7/6,1) *
IF(OR(ISNUMBER(SEARCH("Melee",$L63)),ISNUMBER(SEARCH("Bypass",$L63))),1.5,1)</f>
        <v>0.66666666666666663</v>
      </c>
      <c r="AB63" s="17" cm="1">
        <f t="array" ref="AB63">$H63 *
IF(ISNUMBER(SEARCH("Rapid",$L63)),7/6,1) *
IF(OR(ISNUMBER(SEARCH("Beam",$L63)),ISNUMBER(SEARCH("Firestorm",$L63))),1, IF(ISNUMBER(SEARCH("Blast",$L63)),(4+$F63+(2-$F63)*0.5)/6*2,(4+$F63)/6)) *
IF(ISNUMBER(SEARCH("Fusion",$L63)), _xlfn.IFS(AB$24-$I63 &lt;=1, 9/10, AB$24-$I63 &lt;=10,(11-(AB$24-$I63))/10, AB$24-$I63 &gt;=11, 0),
_xlfn.IFS(AB$24-$I63 &lt;=1, 5/6, AB$24-$I63 &lt;=5, (7-(AB$24-$I63))/6, AND(AB$24-$I63 =6,NOT(_xlfn.IFNA(ISNUMBER(SEARCH("Rending",$L63)),FALSE))), (7-(AB$24-$I63))/6, AND(AB$24-$I63 &gt;=7,NOT(_xlfn.IFNA(ISNUMBER(SEARCH("Rending",$L63)),FALSE))), 0, AB$24-$I63 =7, (7-(AB$24-1-$I63))/6, AB$24-$I63 =8, (7-(AB$24-2-$I63))/6*2/3, AB$24-$I63 =9, (7-(AB$24-3-$I63))/6*1/3, TRUE, 0)) *
IF(ISNUMBER(SEARCH("Ordinance",$L63)),7/6,1) *
IF(OR(ISNUMBER(SEARCH("Melee",$L63)),ISNUMBER(SEARCH("Bypass",$L63))),1.5,1)</f>
        <v>0.44444444444444442</v>
      </c>
      <c r="AC63" s="17" cm="1">
        <f t="array" ref="AC63">$H63 *
IF(ISNUMBER(SEARCH("Rapid",$L63)),7/6,1) *
IF(OR(ISNUMBER(SEARCH("Beam",$L63)),ISNUMBER(SEARCH("Firestorm",$L63))),1, IF(ISNUMBER(SEARCH("Blast",$L63)),(4+$F63+(2-$F63)*0.5)/6*2,(4+$F63)/6)) *
IF(ISNUMBER(SEARCH("Fusion",$L63)), _xlfn.IFS(AC$24-$I63 &lt;=1, 9/10, AC$24-$I63 &lt;=10,(11-(AC$24-$I63))/10, AC$24-$I63 &gt;=11, 0),
_xlfn.IFS(AC$24-$I63 &lt;=1, 5/6, AC$24-$I63 &lt;=5, (7-(AC$24-$I63))/6, AND(AC$24-$I63 =6,NOT(_xlfn.IFNA(ISNUMBER(SEARCH("Rending",$L63)),FALSE))), (7-(AC$24-$I63))/6, AND(AC$24-$I63 &gt;=7,NOT(_xlfn.IFNA(ISNUMBER(SEARCH("Rending",$L63)),FALSE))), 0, AC$24-$I63 =7, (7-(AC$24-1-$I63))/6, AC$24-$I63 =8, (7-(AC$24-2-$I63))/6*2/3, AC$24-$I63 =9, (7-(AC$24-3-$I63))/6*1/3, TRUE, 0)) *
IF(ISNUMBER(SEARCH("Ordinance",$L63)),7/6,1) *
IF(OR(ISNUMBER(SEARCH("Melee",$L63)),ISNUMBER(SEARCH("Bypass",$L63))),1.5,1)</f>
        <v>0.22222222222222221</v>
      </c>
      <c r="AD63" s="17" cm="1">
        <f t="array" ref="AD63">$H63 *
IF(ISNUMBER(SEARCH("Rapid",$L63)),7/6,1) *
IF(OR(ISNUMBER(SEARCH("Beam",$L63)),ISNUMBER(SEARCH("Firestorm",$L63))),1, IF(ISNUMBER(SEARCH("Blast",$L63)),(4+$F63+(2-$F63)*0.5)/6*2,(4+$F63)/6)) *
IF(ISNUMBER(SEARCH("Fusion",$L63)), _xlfn.IFS(AD$24-$I63 &lt;=1, 9/10, AD$24-$I63 &lt;=10,(11-(AD$24-$I63))/10, AD$24-$I63 &gt;=11, 0),
_xlfn.IFS(AD$24-$I63 &lt;=1, 5/6, AD$24-$I63 &lt;=5, (7-(AD$24-$I63))/6, AND(AD$24-$I63 =6,NOT(_xlfn.IFNA(ISNUMBER(SEARCH("Rending",$L63)),FALSE))), (7-(AD$24-$I63))/6, AND(AD$24-$I63 &gt;=7,NOT(_xlfn.IFNA(ISNUMBER(SEARCH("Rending",$L63)),FALSE))), 0, AD$24-$I63 =7, (7-(AD$24-1-$I63))/6, AD$24-$I63 =8, (7-(AD$24-2-$I63))/6*2/3, AD$24-$I63 =9, (7-(AD$24-3-$I63))/6*1/3, TRUE, 0)) *
IF(ISNUMBER(SEARCH("Ordinance",$L63)),7/6,1) *
IF(OR(ISNUMBER(SEARCH("Melee",$L63)),ISNUMBER(SEARCH("Bypass",$L63))),1.5,1)</f>
        <v>0</v>
      </c>
      <c r="AE63" s="17" cm="1">
        <f t="array" ref="AE63">$H63 *
IF(ISNUMBER(SEARCH("Rapid",$L63)),7/6,1) *
IF(OR(ISNUMBER(SEARCH("Beam",$L63)),ISNUMBER(SEARCH("Firestorm",$L63))),1, IF(ISNUMBER(SEARCH("Blast",$L63)),(4+$F63+(2-$F63)*0.5)/6*2,(4+$F63)/6)) *
IF(ISNUMBER(SEARCH("Fusion",$L63)), _xlfn.IFS(AE$24-$I63 &lt;=1, 9/10, AE$24-$I63 &lt;=10,(11-(AE$24-$I63))/10, AE$24-$I63 &gt;=11, 0),
_xlfn.IFS(AE$24-$I63 &lt;=1, 5/6, AE$24-$I63 &lt;=5, (7-(AE$24-$I63))/6, AND(AE$24-$I63 =6,NOT(_xlfn.IFNA(ISNUMBER(SEARCH("Rending",$L63)),FALSE))), (7-(AE$24-$I63))/6, AND(AE$24-$I63 &gt;=7,NOT(_xlfn.IFNA(ISNUMBER(SEARCH("Rending",$L63)),FALSE))), 0, AE$24-$I63 =7, (7-(AE$24-1-$I63))/6, AE$24-$I63 =8, (7-(AE$24-2-$I63))/6*2/3, AE$24-$I63 =9, (7-(AE$24-3-$I63))/6*1/3, TRUE, 0)) *
IF(ISNUMBER(SEARCH("Ordinance",$L63)),7/6,1) *
IF(OR(ISNUMBER(SEARCH("Melee",$L63)),ISNUMBER(SEARCH("Bypass",$L63))),1.5,1)</f>
        <v>0</v>
      </c>
      <c r="AF63" s="17" cm="1">
        <f t="array" ref="AF63">$H63 *
IF(ISNUMBER(SEARCH("Rapid",$L63)),7/6,1) *
IF(OR(ISNUMBER(SEARCH("Beam",$L63)),ISNUMBER(SEARCH("Firestorm",$L63))),1, IF(ISNUMBER(SEARCH("Blast",$L63)),(4+$F63+(2-$F63)*0.5)/6*2,(4+$F63)/6)) *
IF(ISNUMBER(SEARCH("Fusion",$L63)), _xlfn.IFS(AF$24-$I63 &lt;=1, 9/10, AF$24-$I63 &lt;=10,(11-(AF$24-$I63))/10, AF$24-$I63 &gt;=11, 0),
_xlfn.IFS(AF$24-$I63 &lt;=1, 5/6, AF$24-$I63 &lt;=5, (7-(AF$24-$I63))/6, AND(AF$24-$I63 =6,NOT(_xlfn.IFNA(ISNUMBER(SEARCH("Rending",$L63)),FALSE))), (7-(AF$24-$I63))/6, AND(AF$24-$I63 &gt;=7,NOT(_xlfn.IFNA(ISNUMBER(SEARCH("Rending",$L63)),FALSE))), 0, AF$24-$I63 =7, (7-(AF$24-1-$I63))/6, AF$24-$I63 =8, (7-(AF$24-2-$I63))/6*2/3, AF$24-$I63 =9, (7-(AF$24-3-$I63))/6*1/3, TRUE, 0)) *
IF(ISNUMBER(SEARCH("Ordinance",$L63)),7/6,1) *
IF(OR(ISNUMBER(SEARCH("Melee",$L63)),ISNUMBER(SEARCH("Bypass",$L63))),1.5,1)</f>
        <v>0</v>
      </c>
      <c r="AG63" s="16">
        <f t="shared" si="3"/>
        <v>0.66666666666666663</v>
      </c>
      <c r="AH63" s="16">
        <f t="shared" si="4"/>
        <v>0.88888888888888884</v>
      </c>
      <c r="AI63" s="17" cm="1">
        <f t="array" ref="AI63">$H63 *
IF(ISNUMBER(SEARCH("Rapid",$L63)),7/6,1) *
IF(OR(ISNUMBER(SEARCH("Beam",$L63)),ISNUMBER(SEARCH("Firestorm",$L63))),1, IF(ISNUMBER(SEARCH("Blast",$L63)),(4+$G63+(2-$G63)*0.5)/6*2,(4+$G63)/6)) *
_xlfn.IFS(AI$24-$I63 &lt;=1, 5/6, AI$24-$I63 &lt;=5, (7-(AI$24-$I63))/6, AND(AI$24-$I63 =6,NOT(_xlfn.IFNA(ISNUMBER(SEARCH("Rending",$L63)),FALSE))), (7-(AI$24-$I63))/6, AND(AI$24-$I63 &gt;=7,NOT(_xlfn.IFNA(ISNUMBER(SEARCH("Rending",$L63)),FALSE))), 0, AI$24-$I63 =7, (7-(AI$24-1-$I63))/6, AI$24-$I63 =8, (7-(AI$24-2-$I63))/6*2/3, AI$24-$I63 =9, (7-(AI$24-3-$I63))/6*1/3, TRUE, 0) *
IF(ISNUMBER(SEARCH("Ordinance",$L63)),7/6,1) *
IF(OR(ISNUMBER(SEARCH("Melee",$L63)),ISNUMBER(SEARCH("Bypass",$L63))),1.5,1)</f>
        <v>1.1111111111111112</v>
      </c>
      <c r="AJ63" s="17" cm="1">
        <f t="array" ref="AJ63">$H63 *
IF(ISNUMBER(SEARCH("Rapid",$L63)),7/6,1) *
IF(OR(ISNUMBER(SEARCH("Beam",$L63)),ISNUMBER(SEARCH("Firestorm",$L63))),1, IF(ISNUMBER(SEARCH("Blast",$L63)),(4+$G63+(2-$G63)*0.5)/6*2,(4+$G63)/6)) *
_xlfn.IFS(AJ$24-$I63 &lt;=1, 5/6, AJ$24-$I63 &lt;=5, (7-(AJ$24-$I63))/6, AND(AJ$24-$I63 =6,NOT(_xlfn.IFNA(ISNUMBER(SEARCH("Rending",$L63)),FALSE))), (7-(AJ$24-$I63))/6, AND(AJ$24-$I63 &gt;=7,NOT(_xlfn.IFNA(ISNUMBER(SEARCH("Rending",$L63)),FALSE))), 0, AJ$24-$I63 =7, (7-(AJ$24-1-$I63))/6, AJ$24-$I63 =8, (7-(AJ$24-2-$I63))/6*2/3, AJ$24-$I63 =9, (7-(AJ$24-3-$I63))/6*1/3, TRUE, 0) *
IF(ISNUMBER(SEARCH("Ordinance",$L63)),7/6,1) *
IF(OR(ISNUMBER(SEARCH("Melee",$L63)),ISNUMBER(SEARCH("Bypass",$L63))),1.5,1)</f>
        <v>1.1111111111111112</v>
      </c>
      <c r="AK63" s="17" cm="1">
        <f t="array" ref="AK63">$H63 *
IF(ISNUMBER(SEARCH("Rapid",$L63)),7/6,1) *
IF(OR(ISNUMBER(SEARCH("Beam",$L63)),ISNUMBER(SEARCH("Firestorm",$L63))),1, IF(ISNUMBER(SEARCH("Blast",$L63)),(4+$G63+(2-$G63)*0.5)/6*2,(4+$G63)/6)) *
_xlfn.IFS(AK$24-$I63 &lt;=1, 5/6, AK$24-$I63 &lt;=5, (7-(AK$24-$I63))/6, AND(AK$24-$I63 =6,NOT(_xlfn.IFNA(ISNUMBER(SEARCH("Rending",$L63)),FALSE))), (7-(AK$24-$I63))/6, AND(AK$24-$I63 &gt;=7,NOT(_xlfn.IFNA(ISNUMBER(SEARCH("Rending",$L63)),FALSE))), 0, AK$24-$I63 =7, (7-(AK$24-1-$I63))/6, AK$24-$I63 =8, (7-(AK$24-2-$I63))/6*2/3, AK$24-$I63 =9, (7-(AK$24-3-$I63))/6*1/3, TRUE, 0) *
IF(ISNUMBER(SEARCH("Ordinance",$L63)),7/6,1) *
IF(OR(ISNUMBER(SEARCH("Melee",$L63)),ISNUMBER(SEARCH("Bypass",$L63))),1.5,1)</f>
        <v>0.88888888888888884</v>
      </c>
      <c r="AL63" s="17" cm="1">
        <f t="array" ref="AL63">$H63 *
IF(ISNUMBER(SEARCH("Rapid",$L63)),7/6,1) *
IF(OR(ISNUMBER(SEARCH("Beam",$L63)),ISNUMBER(SEARCH("Firestorm",$L63))),1, IF(ISNUMBER(SEARCH("Blast",$L63)),(4+$G63+(2-$G63)*0.5)/6*2,(4+$G63)/6)) *
_xlfn.IFS(AL$24-$I63 &lt;=1, 5/6, AL$24-$I63 &lt;=5, (7-(AL$24-$I63))/6, AND(AL$24-$I63 =6,NOT(_xlfn.IFNA(ISNUMBER(SEARCH("Rending",$L63)),FALSE))), (7-(AL$24-$I63))/6, AND(AL$24-$I63 &gt;=7,NOT(_xlfn.IFNA(ISNUMBER(SEARCH("Rending",$L63)),FALSE))), 0, AL$24-$I63 =7, (7-(AL$24-1-$I63))/6, AL$24-$I63 =8, (7-(AL$24-2-$I63))/6*2/3, AL$24-$I63 =9, (7-(AL$24-3-$I63))/6*1/3, TRUE, 0) *
IF(ISNUMBER(SEARCH("Ordinance",$L63)),7/6,1) *
IF(OR(ISNUMBER(SEARCH("Melee",$L63)),ISNUMBER(SEARCH("Bypass",$L63))),1.5,1)</f>
        <v>0.66666666666666663</v>
      </c>
      <c r="AM63" s="17" cm="1">
        <f t="array" ref="AM63">$H63 *
IF(ISNUMBER(SEARCH("Rapid",$L63)),7/6,1) *
IF(OR(ISNUMBER(SEARCH("Beam",$L63)),ISNUMBER(SEARCH("Firestorm",$L63))),1, IF(ISNUMBER(SEARCH("Blast",$L63)),(4+$G63+(2-$G63)*0.5)/6*2,(4+$G63)/6)) *
_xlfn.IFS(AM$24-$I63 &lt;=1, 5/6, AM$24-$I63 &lt;=5, (7-(AM$24-$I63))/6, AND(AM$24-$I63 =6,NOT(_xlfn.IFNA(ISNUMBER(SEARCH("Rending",$L63)),FALSE))), (7-(AM$24-$I63))/6, AND(AM$24-$I63 &gt;=7,NOT(_xlfn.IFNA(ISNUMBER(SEARCH("Rending",$L63)),FALSE))), 0, AM$24-$I63 =7, (7-(AM$24-1-$I63))/6, AM$24-$I63 =8, (7-(AM$24-2-$I63))/6*2/3, AM$24-$I63 =9, (7-(AM$24-3-$I63))/6*1/3, TRUE, 0) *
IF(ISNUMBER(SEARCH("Ordinance",$L63)),7/6,1) *
IF(OR(ISNUMBER(SEARCH("Melee",$L63)),ISNUMBER(SEARCH("Bypass",$L63))),1.5,1)</f>
        <v>0.44444444444444442</v>
      </c>
      <c r="AN63" s="17" cm="1">
        <f t="array" ref="AN63">$H63 *
IF(ISNUMBER(SEARCH("Rapid",$L63)),7/6,1) *
IF(OR(ISNUMBER(SEARCH("Beam",$L63)),ISNUMBER(SEARCH("Firestorm",$L63))),1, IF(ISNUMBER(SEARCH("Blast",$L63)),(4+$G63+(2-$G63)*0.5)/6*2,(4+$G63)/6)) *
_xlfn.IFS(AN$24-$I63 &lt;=1, 5/6, AN$24-$I63 &lt;=5, (7-(AN$24-$I63))/6, AND(AN$24-$I63 =6,NOT(_xlfn.IFNA(ISNUMBER(SEARCH("Rending",$L63)),FALSE))), (7-(AN$24-$I63))/6, AND(AN$24-$I63 &gt;=7,NOT(_xlfn.IFNA(ISNUMBER(SEARCH("Rending",$L63)),FALSE))), 0, AN$24-$I63 =7, (7-(AN$24-1-$I63))/6, AN$24-$I63 =8, (7-(AN$24-2-$I63))/6*2/3, AN$24-$I63 =9, (7-(AN$24-3-$I63))/6*1/3, TRUE, 0) *
IF(ISNUMBER(SEARCH("Ordinance",$L63)),7/6,1) *
IF(OR(ISNUMBER(SEARCH("Melee",$L63)),ISNUMBER(SEARCH("Bypass",$L63))),1.5,1)</f>
        <v>0.22222222222222221</v>
      </c>
      <c r="AO63" s="17" cm="1">
        <f t="array" ref="AO63">$H63 *
IF(ISNUMBER(SEARCH("Rapid",$L63)),7/6,1) *
IF(OR(ISNUMBER(SEARCH("Beam",$L63)),ISNUMBER(SEARCH("Firestorm",$L63))),1, IF(ISNUMBER(SEARCH("Blast",$L63)),(4+$G63+(2-$G63)*0.5)/6*2,(4+$G63)/6)) *
_xlfn.IFS(AO$24-$I63 &lt;=1, 5/6, AO$24-$I63 &lt;=5, (7-(AO$24-$I63))/6, AND(AO$24-$I63 =6,NOT(_xlfn.IFNA(ISNUMBER(SEARCH("Rending",$L63)),FALSE))), (7-(AO$24-$I63))/6, AND(AO$24-$I63 &gt;=7,NOT(_xlfn.IFNA(ISNUMBER(SEARCH("Rending",$L63)),FALSE))), 0, AO$24-$I63 =7, (7-(AO$24-1-$I63))/6, AO$24-$I63 =8, (7-(AO$24-2-$I63))/6*2/3, AO$24-$I63 =9, (7-(AO$24-3-$I63))/6*1/3, TRUE, 0) *
IF(ISNUMBER(SEARCH("Ordinance",$L63)),7/6,1) *
IF(OR(ISNUMBER(SEARCH("Melee",$L63)),ISNUMBER(SEARCH("Bypass",$L63))),1.5,1)</f>
        <v>0</v>
      </c>
      <c r="AP63" s="17" cm="1">
        <f t="array" ref="AP63">$H63 *
IF(ISNUMBER(SEARCH("Rapid",$L63)),7/6,1) *
IF(OR(ISNUMBER(SEARCH("Beam",$L63)),ISNUMBER(SEARCH("Firestorm",$L63))),1, IF(ISNUMBER(SEARCH("Blast",$L63)),(4+$G63+(2-$G63)*0.5)/6*2,(4+$G63)/6)) *
_xlfn.IFS(AP$24-$I63 &lt;=1, 5/6, AP$24-$I63 &lt;=5, (7-(AP$24-$I63))/6, AND(AP$24-$I63 =6,NOT(_xlfn.IFNA(ISNUMBER(SEARCH("Rending",$L63)),FALSE))), (7-(AP$24-$I63))/6, AND(AP$24-$I63 &gt;=7,NOT(_xlfn.IFNA(ISNUMBER(SEARCH("Rending",$L63)),FALSE))), 0, AP$24-$I63 =7, (7-(AP$24-1-$I63))/6, AP$24-$I63 =8, (7-(AP$24-2-$I63))/6*2/3, AP$24-$I63 =9, (7-(AP$24-3-$I63))/6*1/3, TRUE, 0) *
IF(ISNUMBER(SEARCH("Ordinance",$L63)),7/6,1) *
IF(OR(ISNUMBER(SEARCH("Melee",$L63)),ISNUMBER(SEARCH("Bypass",$L63))),1.5,1)</f>
        <v>0</v>
      </c>
      <c r="AQ63" s="17" cm="1">
        <f t="array" ref="AQ63">$H63 *
IF(ISNUMBER(SEARCH("Rapid",$L63)),7/6,1) *
IF(OR(ISNUMBER(SEARCH("Beam",$L63)),ISNUMBER(SEARCH("Firestorm",$L63))),1, IF(ISNUMBER(SEARCH("Blast",$L63)),(4+$G63+(2-$G63)*0.5)/6*2,(4+$G63)/6)) *
_xlfn.IFS(AQ$24-$I63 &lt;=1, 5/6, AQ$24-$I63 &lt;=5, (7-(AQ$24-$I63))/6, AND(AQ$24-$I63 =6,NOT(_xlfn.IFNA(ISNUMBER(SEARCH("Rending",$L63)),FALSE))), (7-(AQ$24-$I63))/6, AND(AQ$24-$I63 &gt;=7,NOT(_xlfn.IFNA(ISNUMBER(SEARCH("Rending",$L63)),FALSE))), 0, AQ$24-$I63 =7, (7-(AQ$24-1-$I63))/6, AQ$24-$I63 =8, (7-(AQ$24-2-$I63))/6*2/3, AQ$24-$I63 =9, (7-(AQ$24-3-$I63))/6*1/3, TRUE, 0) *
IF(ISNUMBER(SEARCH("Ordinance",$L63)),7/6,1) *
IF(OR(ISNUMBER(SEARCH("Melee",$L63)),ISNUMBER(SEARCH("Bypass",$L63))),1.5,1)</f>
        <v>0</v>
      </c>
      <c r="AS63" s="16">
        <f t="shared" si="11"/>
        <v>0.44444444444444442</v>
      </c>
      <c r="AT63" s="16">
        <f t="shared" si="12"/>
        <v>0.59259259259259256</v>
      </c>
      <c r="AU63" s="16">
        <f t="shared" si="9"/>
        <v>0.92592592592592593</v>
      </c>
      <c r="AV63" s="2">
        <v>10</v>
      </c>
    </row>
    <row r="64" spans="1:48" x14ac:dyDescent="0.3">
      <c r="A64" t="s">
        <v>210</v>
      </c>
      <c r="B64" s="3">
        <v>21</v>
      </c>
      <c r="C64" s="3">
        <v>38</v>
      </c>
      <c r="D64" s="3">
        <v>1</v>
      </c>
      <c r="E64" s="3">
        <v>2</v>
      </c>
      <c r="F64" s="10"/>
      <c r="G64" s="10"/>
      <c r="H64" s="3">
        <v>2</v>
      </c>
      <c r="I64" s="3">
        <v>8</v>
      </c>
      <c r="J64" s="3" t="s">
        <v>215</v>
      </c>
      <c r="K64" s="3">
        <v>30</v>
      </c>
      <c r="L64" s="3" t="s">
        <v>224</v>
      </c>
      <c r="M64" s="3" t="s">
        <v>225</v>
      </c>
      <c r="N64" s="3">
        <v>10</v>
      </c>
      <c r="O64" s="3">
        <v>10</v>
      </c>
      <c r="P64" s="3">
        <v>14</v>
      </c>
      <c r="Q64" s="3" t="s">
        <v>200</v>
      </c>
      <c r="R64" s="3">
        <v>7</v>
      </c>
      <c r="S64" s="3">
        <v>9</v>
      </c>
      <c r="T64" s="3">
        <v>4</v>
      </c>
      <c r="U64" t="s">
        <v>269</v>
      </c>
      <c r="V64" s="16">
        <f t="shared" si="1"/>
        <v>0.66666666666666663</v>
      </c>
      <c r="W64" s="16">
        <f t="shared" si="2"/>
        <v>0.88888888888888884</v>
      </c>
      <c r="X64" s="17" cm="1">
        <f t="array" ref="X64">$H64 *
IF(ISNUMBER(SEARCH("Rapid",$L64)),7/6,1) *
IF(OR(ISNUMBER(SEARCH("Beam",$L64)),ISNUMBER(SEARCH("Firestorm",$L64))),1, IF(ISNUMBER(SEARCH("Blast",$L64)),(4+$F64+(2-$F64)*0.5)/6*2,(4+$F64)/6)) *
IF(ISNUMBER(SEARCH("Fusion",$L64)), _xlfn.IFS(X$24-$I64 &lt;=1, 9/10, X$24-$I64 &lt;=10,(11-(X$24-$I64))/10, X$24-$I64 &gt;=11, 0),
_xlfn.IFS(X$24-$I64 &lt;=1, 5/6, X$24-$I64 &lt;=5, (7-(X$24-$I64))/6, AND(X$24-$I64 =6,NOT(_xlfn.IFNA(ISNUMBER(SEARCH("Rending",$L64)),FALSE))), (7-(X$24-$I64))/6, AND(X$24-$I64 &gt;=7,NOT(_xlfn.IFNA(ISNUMBER(SEARCH("Rending",$L64)),FALSE))), 0, X$24-$I64 =7, (7-(X$24-1-$I64))/6, X$24-$I64 =8, (7-(X$24-2-$I64))/6*2/3, X$24-$I64 =9, (7-(X$24-3-$I64))/6*1/3, TRUE, 0)) *
IF(ISNUMBER(SEARCH("Ordinance",$L64)),7/6,1) *
IF(OR(ISNUMBER(SEARCH("Melee",$L64)),ISNUMBER(SEARCH("Bypass",$L64))),1.5,1)</f>
        <v>1.1111111111111112</v>
      </c>
      <c r="Y64" s="17" cm="1">
        <f t="array" ref="Y64">$H64 *
IF(ISNUMBER(SEARCH("Rapid",$L64)),7/6,1) *
IF(OR(ISNUMBER(SEARCH("Beam",$L64)),ISNUMBER(SEARCH("Firestorm",$L64))),1, IF(ISNUMBER(SEARCH("Blast",$L64)),(4+$F64+(2-$F64)*0.5)/6*2,(4+$F64)/6)) *
IF(ISNUMBER(SEARCH("Fusion",$L64)), _xlfn.IFS(Y$24-$I64 &lt;=1, 9/10, Y$24-$I64 &lt;=10,(11-(Y$24-$I64))/10, Y$24-$I64 &gt;=11, 0),
_xlfn.IFS(Y$24-$I64 &lt;=1, 5/6, Y$24-$I64 &lt;=5, (7-(Y$24-$I64))/6, AND(Y$24-$I64 =6,NOT(_xlfn.IFNA(ISNUMBER(SEARCH("Rending",$L64)),FALSE))), (7-(Y$24-$I64))/6, AND(Y$24-$I64 &gt;=7,NOT(_xlfn.IFNA(ISNUMBER(SEARCH("Rending",$L64)),FALSE))), 0, Y$24-$I64 =7, (7-(Y$24-1-$I64))/6, Y$24-$I64 =8, (7-(Y$24-2-$I64))/6*2/3, Y$24-$I64 =9, (7-(Y$24-3-$I64))/6*1/3, TRUE, 0)) *
IF(ISNUMBER(SEARCH("Ordinance",$L64)),7/6,1) *
IF(OR(ISNUMBER(SEARCH("Melee",$L64)),ISNUMBER(SEARCH("Bypass",$L64))),1.5,1)</f>
        <v>1.1111111111111112</v>
      </c>
      <c r="Z64" s="17" cm="1">
        <f t="array" ref="Z64">$H64 *
IF(ISNUMBER(SEARCH("Rapid",$L64)),7/6,1) *
IF(OR(ISNUMBER(SEARCH("Beam",$L64)),ISNUMBER(SEARCH("Firestorm",$L64))),1, IF(ISNUMBER(SEARCH("Blast",$L64)),(4+$F64+(2-$F64)*0.5)/6*2,(4+$F64)/6)) *
IF(ISNUMBER(SEARCH("Fusion",$L64)), _xlfn.IFS(Z$24-$I64 &lt;=1, 9/10, Z$24-$I64 &lt;=10,(11-(Z$24-$I64))/10, Z$24-$I64 &gt;=11, 0),
_xlfn.IFS(Z$24-$I64 &lt;=1, 5/6, Z$24-$I64 &lt;=5, (7-(Z$24-$I64))/6, AND(Z$24-$I64 =6,NOT(_xlfn.IFNA(ISNUMBER(SEARCH("Rending",$L64)),FALSE))), (7-(Z$24-$I64))/6, AND(Z$24-$I64 &gt;=7,NOT(_xlfn.IFNA(ISNUMBER(SEARCH("Rending",$L64)),FALSE))), 0, Z$24-$I64 =7, (7-(Z$24-1-$I64))/6, Z$24-$I64 =8, (7-(Z$24-2-$I64))/6*2/3, Z$24-$I64 =9, (7-(Z$24-3-$I64))/6*1/3, TRUE, 0)) *
IF(ISNUMBER(SEARCH("Ordinance",$L64)),7/6,1) *
IF(OR(ISNUMBER(SEARCH("Melee",$L64)),ISNUMBER(SEARCH("Bypass",$L64))),1.5,1)</f>
        <v>0.88888888888888884</v>
      </c>
      <c r="AA64" s="17" cm="1">
        <f t="array" ref="AA64">$H64 *
IF(ISNUMBER(SEARCH("Rapid",$L64)),7/6,1) *
IF(OR(ISNUMBER(SEARCH("Beam",$L64)),ISNUMBER(SEARCH("Firestorm",$L64))),1, IF(ISNUMBER(SEARCH("Blast",$L64)),(4+$F64+(2-$F64)*0.5)/6*2,(4+$F64)/6)) *
IF(ISNUMBER(SEARCH("Fusion",$L64)), _xlfn.IFS(AA$24-$I64 &lt;=1, 9/10, AA$24-$I64 &lt;=10,(11-(AA$24-$I64))/10, AA$24-$I64 &gt;=11, 0),
_xlfn.IFS(AA$24-$I64 &lt;=1, 5/6, AA$24-$I64 &lt;=5, (7-(AA$24-$I64))/6, AND(AA$24-$I64 =6,NOT(_xlfn.IFNA(ISNUMBER(SEARCH("Rending",$L64)),FALSE))), (7-(AA$24-$I64))/6, AND(AA$24-$I64 &gt;=7,NOT(_xlfn.IFNA(ISNUMBER(SEARCH("Rending",$L64)),FALSE))), 0, AA$24-$I64 =7, (7-(AA$24-1-$I64))/6, AA$24-$I64 =8, (7-(AA$24-2-$I64))/6*2/3, AA$24-$I64 =9, (7-(AA$24-3-$I64))/6*1/3, TRUE, 0)) *
IF(ISNUMBER(SEARCH("Ordinance",$L64)),7/6,1) *
IF(OR(ISNUMBER(SEARCH("Melee",$L64)),ISNUMBER(SEARCH("Bypass",$L64))),1.5,1)</f>
        <v>0.66666666666666663</v>
      </c>
      <c r="AB64" s="17" cm="1">
        <f t="array" ref="AB64">$H64 *
IF(ISNUMBER(SEARCH("Rapid",$L64)),7/6,1) *
IF(OR(ISNUMBER(SEARCH("Beam",$L64)),ISNUMBER(SEARCH("Firestorm",$L64))),1, IF(ISNUMBER(SEARCH("Blast",$L64)),(4+$F64+(2-$F64)*0.5)/6*2,(4+$F64)/6)) *
IF(ISNUMBER(SEARCH("Fusion",$L64)), _xlfn.IFS(AB$24-$I64 &lt;=1, 9/10, AB$24-$I64 &lt;=10,(11-(AB$24-$I64))/10, AB$24-$I64 &gt;=11, 0),
_xlfn.IFS(AB$24-$I64 &lt;=1, 5/6, AB$24-$I64 &lt;=5, (7-(AB$24-$I64))/6, AND(AB$24-$I64 =6,NOT(_xlfn.IFNA(ISNUMBER(SEARCH("Rending",$L64)),FALSE))), (7-(AB$24-$I64))/6, AND(AB$24-$I64 &gt;=7,NOT(_xlfn.IFNA(ISNUMBER(SEARCH("Rending",$L64)),FALSE))), 0, AB$24-$I64 =7, (7-(AB$24-1-$I64))/6, AB$24-$I64 =8, (7-(AB$24-2-$I64))/6*2/3, AB$24-$I64 =9, (7-(AB$24-3-$I64))/6*1/3, TRUE, 0)) *
IF(ISNUMBER(SEARCH("Ordinance",$L64)),7/6,1) *
IF(OR(ISNUMBER(SEARCH("Melee",$L64)),ISNUMBER(SEARCH("Bypass",$L64))),1.5,1)</f>
        <v>0.44444444444444442</v>
      </c>
      <c r="AC64" s="17" cm="1">
        <f t="array" ref="AC64">$H64 *
IF(ISNUMBER(SEARCH("Rapid",$L64)),7/6,1) *
IF(OR(ISNUMBER(SEARCH("Beam",$L64)),ISNUMBER(SEARCH("Firestorm",$L64))),1, IF(ISNUMBER(SEARCH("Blast",$L64)),(4+$F64+(2-$F64)*0.5)/6*2,(4+$F64)/6)) *
IF(ISNUMBER(SEARCH("Fusion",$L64)), _xlfn.IFS(AC$24-$I64 &lt;=1, 9/10, AC$24-$I64 &lt;=10,(11-(AC$24-$I64))/10, AC$24-$I64 &gt;=11, 0),
_xlfn.IFS(AC$24-$I64 &lt;=1, 5/6, AC$24-$I64 &lt;=5, (7-(AC$24-$I64))/6, AND(AC$24-$I64 =6,NOT(_xlfn.IFNA(ISNUMBER(SEARCH("Rending",$L64)),FALSE))), (7-(AC$24-$I64))/6, AND(AC$24-$I64 &gt;=7,NOT(_xlfn.IFNA(ISNUMBER(SEARCH("Rending",$L64)),FALSE))), 0, AC$24-$I64 =7, (7-(AC$24-1-$I64))/6, AC$24-$I64 =8, (7-(AC$24-2-$I64))/6*2/3, AC$24-$I64 =9, (7-(AC$24-3-$I64))/6*1/3, TRUE, 0)) *
IF(ISNUMBER(SEARCH("Ordinance",$L64)),7/6,1) *
IF(OR(ISNUMBER(SEARCH("Melee",$L64)),ISNUMBER(SEARCH("Bypass",$L64))),1.5,1)</f>
        <v>0.22222222222222221</v>
      </c>
      <c r="AD64" s="17" cm="1">
        <f t="array" ref="AD64">$H64 *
IF(ISNUMBER(SEARCH("Rapid",$L64)),7/6,1) *
IF(OR(ISNUMBER(SEARCH("Beam",$L64)),ISNUMBER(SEARCH("Firestorm",$L64))),1, IF(ISNUMBER(SEARCH("Blast",$L64)),(4+$F64+(2-$F64)*0.5)/6*2,(4+$F64)/6)) *
IF(ISNUMBER(SEARCH("Fusion",$L64)), _xlfn.IFS(AD$24-$I64 &lt;=1, 9/10, AD$24-$I64 &lt;=10,(11-(AD$24-$I64))/10, AD$24-$I64 &gt;=11, 0),
_xlfn.IFS(AD$24-$I64 &lt;=1, 5/6, AD$24-$I64 &lt;=5, (7-(AD$24-$I64))/6, AND(AD$24-$I64 =6,NOT(_xlfn.IFNA(ISNUMBER(SEARCH("Rending",$L64)),FALSE))), (7-(AD$24-$I64))/6, AND(AD$24-$I64 &gt;=7,NOT(_xlfn.IFNA(ISNUMBER(SEARCH("Rending",$L64)),FALSE))), 0, AD$24-$I64 =7, (7-(AD$24-1-$I64))/6, AD$24-$I64 =8, (7-(AD$24-2-$I64))/6*2/3, AD$24-$I64 =9, (7-(AD$24-3-$I64))/6*1/3, TRUE, 0)) *
IF(ISNUMBER(SEARCH("Ordinance",$L64)),7/6,1) *
IF(OR(ISNUMBER(SEARCH("Melee",$L64)),ISNUMBER(SEARCH("Bypass",$L64))),1.5,1)</f>
        <v>0</v>
      </c>
      <c r="AE64" s="17" cm="1">
        <f t="array" ref="AE64">$H64 *
IF(ISNUMBER(SEARCH("Rapid",$L64)),7/6,1) *
IF(OR(ISNUMBER(SEARCH("Beam",$L64)),ISNUMBER(SEARCH("Firestorm",$L64))),1, IF(ISNUMBER(SEARCH("Blast",$L64)),(4+$F64+(2-$F64)*0.5)/6*2,(4+$F64)/6)) *
IF(ISNUMBER(SEARCH("Fusion",$L64)), _xlfn.IFS(AE$24-$I64 &lt;=1, 9/10, AE$24-$I64 &lt;=10,(11-(AE$24-$I64))/10, AE$24-$I64 &gt;=11, 0),
_xlfn.IFS(AE$24-$I64 &lt;=1, 5/6, AE$24-$I64 &lt;=5, (7-(AE$24-$I64))/6, AND(AE$24-$I64 =6,NOT(_xlfn.IFNA(ISNUMBER(SEARCH("Rending",$L64)),FALSE))), (7-(AE$24-$I64))/6, AND(AE$24-$I64 &gt;=7,NOT(_xlfn.IFNA(ISNUMBER(SEARCH("Rending",$L64)),FALSE))), 0, AE$24-$I64 =7, (7-(AE$24-1-$I64))/6, AE$24-$I64 =8, (7-(AE$24-2-$I64))/6*2/3, AE$24-$I64 =9, (7-(AE$24-3-$I64))/6*1/3, TRUE, 0)) *
IF(ISNUMBER(SEARCH("Ordinance",$L64)),7/6,1) *
IF(OR(ISNUMBER(SEARCH("Melee",$L64)),ISNUMBER(SEARCH("Bypass",$L64))),1.5,1)</f>
        <v>0</v>
      </c>
      <c r="AF64" s="17" cm="1">
        <f t="array" ref="AF64">$H64 *
IF(ISNUMBER(SEARCH("Rapid",$L64)),7/6,1) *
IF(OR(ISNUMBER(SEARCH("Beam",$L64)),ISNUMBER(SEARCH("Firestorm",$L64))),1, IF(ISNUMBER(SEARCH("Blast",$L64)),(4+$F64+(2-$F64)*0.5)/6*2,(4+$F64)/6)) *
IF(ISNUMBER(SEARCH("Fusion",$L64)), _xlfn.IFS(AF$24-$I64 &lt;=1, 9/10, AF$24-$I64 &lt;=10,(11-(AF$24-$I64))/10, AF$24-$I64 &gt;=11, 0),
_xlfn.IFS(AF$24-$I64 &lt;=1, 5/6, AF$24-$I64 &lt;=5, (7-(AF$24-$I64))/6, AND(AF$24-$I64 =6,NOT(_xlfn.IFNA(ISNUMBER(SEARCH("Rending",$L64)),FALSE))), (7-(AF$24-$I64))/6, AND(AF$24-$I64 &gt;=7,NOT(_xlfn.IFNA(ISNUMBER(SEARCH("Rending",$L64)),FALSE))), 0, AF$24-$I64 =7, (7-(AF$24-1-$I64))/6, AF$24-$I64 =8, (7-(AF$24-2-$I64))/6*2/3, AF$24-$I64 =9, (7-(AF$24-3-$I64))/6*1/3, TRUE, 0)) *
IF(ISNUMBER(SEARCH("Ordinance",$L64)),7/6,1) *
IF(OR(ISNUMBER(SEARCH("Melee",$L64)),ISNUMBER(SEARCH("Bypass",$L64))),1.5,1)</f>
        <v>0</v>
      </c>
      <c r="AG64" s="16">
        <f t="shared" si="3"/>
        <v>0.66666666666666663</v>
      </c>
      <c r="AH64" s="16">
        <f t="shared" si="4"/>
        <v>0.88888888888888884</v>
      </c>
      <c r="AI64" s="17" cm="1">
        <f t="array" ref="AI64">$H64 *
IF(ISNUMBER(SEARCH("Rapid",$L64)),7/6,1) *
IF(OR(ISNUMBER(SEARCH("Beam",$L64)),ISNUMBER(SEARCH("Firestorm",$L64))),1, IF(ISNUMBER(SEARCH("Blast",$L64)),(4+$G64+(2-$G64)*0.5)/6*2,(4+$G64)/6)) *
_xlfn.IFS(AI$24-$I64 &lt;=1, 5/6, AI$24-$I64 &lt;=5, (7-(AI$24-$I64))/6, AND(AI$24-$I64 =6,NOT(_xlfn.IFNA(ISNUMBER(SEARCH("Rending",$L64)),FALSE))), (7-(AI$24-$I64))/6, AND(AI$24-$I64 &gt;=7,NOT(_xlfn.IFNA(ISNUMBER(SEARCH("Rending",$L64)),FALSE))), 0, AI$24-$I64 =7, (7-(AI$24-1-$I64))/6, AI$24-$I64 =8, (7-(AI$24-2-$I64))/6*2/3, AI$24-$I64 =9, (7-(AI$24-3-$I64))/6*1/3, TRUE, 0) *
IF(ISNUMBER(SEARCH("Ordinance",$L64)),7/6,1) *
IF(OR(ISNUMBER(SEARCH("Melee",$L64)),ISNUMBER(SEARCH("Bypass",$L64))),1.5,1)</f>
        <v>1.1111111111111112</v>
      </c>
      <c r="AJ64" s="17" cm="1">
        <f t="array" ref="AJ64">$H64 *
IF(ISNUMBER(SEARCH("Rapid",$L64)),7/6,1) *
IF(OR(ISNUMBER(SEARCH("Beam",$L64)),ISNUMBER(SEARCH("Firestorm",$L64))),1, IF(ISNUMBER(SEARCH("Blast",$L64)),(4+$G64+(2-$G64)*0.5)/6*2,(4+$G64)/6)) *
_xlfn.IFS(AJ$24-$I64 &lt;=1, 5/6, AJ$24-$I64 &lt;=5, (7-(AJ$24-$I64))/6, AND(AJ$24-$I64 =6,NOT(_xlfn.IFNA(ISNUMBER(SEARCH("Rending",$L64)),FALSE))), (7-(AJ$24-$I64))/6, AND(AJ$24-$I64 &gt;=7,NOT(_xlfn.IFNA(ISNUMBER(SEARCH("Rending",$L64)),FALSE))), 0, AJ$24-$I64 =7, (7-(AJ$24-1-$I64))/6, AJ$24-$I64 =8, (7-(AJ$24-2-$I64))/6*2/3, AJ$24-$I64 =9, (7-(AJ$24-3-$I64))/6*1/3, TRUE, 0) *
IF(ISNUMBER(SEARCH("Ordinance",$L64)),7/6,1) *
IF(OR(ISNUMBER(SEARCH("Melee",$L64)),ISNUMBER(SEARCH("Bypass",$L64))),1.5,1)</f>
        <v>1.1111111111111112</v>
      </c>
      <c r="AK64" s="17" cm="1">
        <f t="array" ref="AK64">$H64 *
IF(ISNUMBER(SEARCH("Rapid",$L64)),7/6,1) *
IF(OR(ISNUMBER(SEARCH("Beam",$L64)),ISNUMBER(SEARCH("Firestorm",$L64))),1, IF(ISNUMBER(SEARCH("Blast",$L64)),(4+$G64+(2-$G64)*0.5)/6*2,(4+$G64)/6)) *
_xlfn.IFS(AK$24-$I64 &lt;=1, 5/6, AK$24-$I64 &lt;=5, (7-(AK$24-$I64))/6, AND(AK$24-$I64 =6,NOT(_xlfn.IFNA(ISNUMBER(SEARCH("Rending",$L64)),FALSE))), (7-(AK$24-$I64))/6, AND(AK$24-$I64 &gt;=7,NOT(_xlfn.IFNA(ISNUMBER(SEARCH("Rending",$L64)),FALSE))), 0, AK$24-$I64 =7, (7-(AK$24-1-$I64))/6, AK$24-$I64 =8, (7-(AK$24-2-$I64))/6*2/3, AK$24-$I64 =9, (7-(AK$24-3-$I64))/6*1/3, TRUE, 0) *
IF(ISNUMBER(SEARCH("Ordinance",$L64)),7/6,1) *
IF(OR(ISNUMBER(SEARCH("Melee",$L64)),ISNUMBER(SEARCH("Bypass",$L64))),1.5,1)</f>
        <v>0.88888888888888884</v>
      </c>
      <c r="AL64" s="17" cm="1">
        <f t="array" ref="AL64">$H64 *
IF(ISNUMBER(SEARCH("Rapid",$L64)),7/6,1) *
IF(OR(ISNUMBER(SEARCH("Beam",$L64)),ISNUMBER(SEARCH("Firestorm",$L64))),1, IF(ISNUMBER(SEARCH("Blast",$L64)),(4+$G64+(2-$G64)*0.5)/6*2,(4+$G64)/6)) *
_xlfn.IFS(AL$24-$I64 &lt;=1, 5/6, AL$24-$I64 &lt;=5, (7-(AL$24-$I64))/6, AND(AL$24-$I64 =6,NOT(_xlfn.IFNA(ISNUMBER(SEARCH("Rending",$L64)),FALSE))), (7-(AL$24-$I64))/6, AND(AL$24-$I64 &gt;=7,NOT(_xlfn.IFNA(ISNUMBER(SEARCH("Rending",$L64)),FALSE))), 0, AL$24-$I64 =7, (7-(AL$24-1-$I64))/6, AL$24-$I64 =8, (7-(AL$24-2-$I64))/6*2/3, AL$24-$I64 =9, (7-(AL$24-3-$I64))/6*1/3, TRUE, 0) *
IF(ISNUMBER(SEARCH("Ordinance",$L64)),7/6,1) *
IF(OR(ISNUMBER(SEARCH("Melee",$L64)),ISNUMBER(SEARCH("Bypass",$L64))),1.5,1)</f>
        <v>0.66666666666666663</v>
      </c>
      <c r="AM64" s="17" cm="1">
        <f t="array" ref="AM64">$H64 *
IF(ISNUMBER(SEARCH("Rapid",$L64)),7/6,1) *
IF(OR(ISNUMBER(SEARCH("Beam",$L64)),ISNUMBER(SEARCH("Firestorm",$L64))),1, IF(ISNUMBER(SEARCH("Blast",$L64)),(4+$G64+(2-$G64)*0.5)/6*2,(4+$G64)/6)) *
_xlfn.IFS(AM$24-$I64 &lt;=1, 5/6, AM$24-$I64 &lt;=5, (7-(AM$24-$I64))/6, AND(AM$24-$I64 =6,NOT(_xlfn.IFNA(ISNUMBER(SEARCH("Rending",$L64)),FALSE))), (7-(AM$24-$I64))/6, AND(AM$24-$I64 &gt;=7,NOT(_xlfn.IFNA(ISNUMBER(SEARCH("Rending",$L64)),FALSE))), 0, AM$24-$I64 =7, (7-(AM$24-1-$I64))/6, AM$24-$I64 =8, (7-(AM$24-2-$I64))/6*2/3, AM$24-$I64 =9, (7-(AM$24-3-$I64))/6*1/3, TRUE, 0) *
IF(ISNUMBER(SEARCH("Ordinance",$L64)),7/6,1) *
IF(OR(ISNUMBER(SEARCH("Melee",$L64)),ISNUMBER(SEARCH("Bypass",$L64))),1.5,1)</f>
        <v>0.44444444444444442</v>
      </c>
      <c r="AN64" s="17" cm="1">
        <f t="array" ref="AN64">$H64 *
IF(ISNUMBER(SEARCH("Rapid",$L64)),7/6,1) *
IF(OR(ISNUMBER(SEARCH("Beam",$L64)),ISNUMBER(SEARCH("Firestorm",$L64))),1, IF(ISNUMBER(SEARCH("Blast",$L64)),(4+$G64+(2-$G64)*0.5)/6*2,(4+$G64)/6)) *
_xlfn.IFS(AN$24-$I64 &lt;=1, 5/6, AN$24-$I64 &lt;=5, (7-(AN$24-$I64))/6, AND(AN$24-$I64 =6,NOT(_xlfn.IFNA(ISNUMBER(SEARCH("Rending",$L64)),FALSE))), (7-(AN$24-$I64))/6, AND(AN$24-$I64 &gt;=7,NOT(_xlfn.IFNA(ISNUMBER(SEARCH("Rending",$L64)),FALSE))), 0, AN$24-$I64 =7, (7-(AN$24-1-$I64))/6, AN$24-$I64 =8, (7-(AN$24-2-$I64))/6*2/3, AN$24-$I64 =9, (7-(AN$24-3-$I64))/6*1/3, TRUE, 0) *
IF(ISNUMBER(SEARCH("Ordinance",$L64)),7/6,1) *
IF(OR(ISNUMBER(SEARCH("Melee",$L64)),ISNUMBER(SEARCH("Bypass",$L64))),1.5,1)</f>
        <v>0.22222222222222221</v>
      </c>
      <c r="AO64" s="17" cm="1">
        <f t="array" ref="AO64">$H64 *
IF(ISNUMBER(SEARCH("Rapid",$L64)),7/6,1) *
IF(OR(ISNUMBER(SEARCH("Beam",$L64)),ISNUMBER(SEARCH("Firestorm",$L64))),1, IF(ISNUMBER(SEARCH("Blast",$L64)),(4+$G64+(2-$G64)*0.5)/6*2,(4+$G64)/6)) *
_xlfn.IFS(AO$24-$I64 &lt;=1, 5/6, AO$24-$I64 &lt;=5, (7-(AO$24-$I64))/6, AND(AO$24-$I64 =6,NOT(_xlfn.IFNA(ISNUMBER(SEARCH("Rending",$L64)),FALSE))), (7-(AO$24-$I64))/6, AND(AO$24-$I64 &gt;=7,NOT(_xlfn.IFNA(ISNUMBER(SEARCH("Rending",$L64)),FALSE))), 0, AO$24-$I64 =7, (7-(AO$24-1-$I64))/6, AO$24-$I64 =8, (7-(AO$24-2-$I64))/6*2/3, AO$24-$I64 =9, (7-(AO$24-3-$I64))/6*1/3, TRUE, 0) *
IF(ISNUMBER(SEARCH("Ordinance",$L64)),7/6,1) *
IF(OR(ISNUMBER(SEARCH("Melee",$L64)),ISNUMBER(SEARCH("Bypass",$L64))),1.5,1)</f>
        <v>0</v>
      </c>
      <c r="AP64" s="17" cm="1">
        <f t="array" ref="AP64">$H64 *
IF(ISNUMBER(SEARCH("Rapid",$L64)),7/6,1) *
IF(OR(ISNUMBER(SEARCH("Beam",$L64)),ISNUMBER(SEARCH("Firestorm",$L64))),1, IF(ISNUMBER(SEARCH("Blast",$L64)),(4+$G64+(2-$G64)*0.5)/6*2,(4+$G64)/6)) *
_xlfn.IFS(AP$24-$I64 &lt;=1, 5/6, AP$24-$I64 &lt;=5, (7-(AP$24-$I64))/6, AND(AP$24-$I64 =6,NOT(_xlfn.IFNA(ISNUMBER(SEARCH("Rending",$L64)),FALSE))), (7-(AP$24-$I64))/6, AND(AP$24-$I64 &gt;=7,NOT(_xlfn.IFNA(ISNUMBER(SEARCH("Rending",$L64)),FALSE))), 0, AP$24-$I64 =7, (7-(AP$24-1-$I64))/6, AP$24-$I64 =8, (7-(AP$24-2-$I64))/6*2/3, AP$24-$I64 =9, (7-(AP$24-3-$I64))/6*1/3, TRUE, 0) *
IF(ISNUMBER(SEARCH("Ordinance",$L64)),7/6,1) *
IF(OR(ISNUMBER(SEARCH("Melee",$L64)),ISNUMBER(SEARCH("Bypass",$L64))),1.5,1)</f>
        <v>0</v>
      </c>
      <c r="AQ64" s="17" cm="1">
        <f t="array" ref="AQ64">$H64 *
IF(ISNUMBER(SEARCH("Rapid",$L64)),7/6,1) *
IF(OR(ISNUMBER(SEARCH("Beam",$L64)),ISNUMBER(SEARCH("Firestorm",$L64))),1, IF(ISNUMBER(SEARCH("Blast",$L64)),(4+$G64+(2-$G64)*0.5)/6*2,(4+$G64)/6)) *
_xlfn.IFS(AQ$24-$I64 &lt;=1, 5/6, AQ$24-$I64 &lt;=5, (7-(AQ$24-$I64))/6, AND(AQ$24-$I64 =6,NOT(_xlfn.IFNA(ISNUMBER(SEARCH("Rending",$L64)),FALSE))), (7-(AQ$24-$I64))/6, AND(AQ$24-$I64 &gt;=7,NOT(_xlfn.IFNA(ISNUMBER(SEARCH("Rending",$L64)),FALSE))), 0, AQ$24-$I64 =7, (7-(AQ$24-1-$I64))/6, AQ$24-$I64 =8, (7-(AQ$24-2-$I64))/6*2/3, AQ$24-$I64 =9, (7-(AQ$24-3-$I64))/6*1/3, TRUE, 0) *
IF(ISNUMBER(SEARCH("Ordinance",$L64)),7/6,1) *
IF(OR(ISNUMBER(SEARCH("Melee",$L64)),ISNUMBER(SEARCH("Bypass",$L64))),1.5,1)</f>
        <v>0</v>
      </c>
      <c r="AS64" s="16">
        <f t="shared" si="11"/>
        <v>0.44444444444444442</v>
      </c>
      <c r="AT64" s="16">
        <f t="shared" si="12"/>
        <v>0.59259259259259256</v>
      </c>
      <c r="AU64" s="16">
        <f t="shared" si="9"/>
        <v>0.92592592592592593</v>
      </c>
      <c r="AV64" s="2">
        <v>10</v>
      </c>
    </row>
    <row r="65" spans="1:48" x14ac:dyDescent="0.3">
      <c r="A65" t="s">
        <v>213</v>
      </c>
      <c r="B65" s="3">
        <v>20</v>
      </c>
      <c r="C65" s="3">
        <v>80</v>
      </c>
      <c r="E65" s="3">
        <v>1</v>
      </c>
      <c r="F65" s="10">
        <v>1</v>
      </c>
      <c r="G65" s="10">
        <v>2</v>
      </c>
      <c r="H65" s="3">
        <v>1</v>
      </c>
      <c r="I65" s="3">
        <v>11</v>
      </c>
      <c r="J65" s="3" t="s">
        <v>215</v>
      </c>
      <c r="K65" s="3">
        <v>10</v>
      </c>
      <c r="L65" s="3" t="s">
        <v>222</v>
      </c>
      <c r="M65" s="3" t="s">
        <v>225</v>
      </c>
      <c r="N65" s="3">
        <v>10</v>
      </c>
      <c r="O65" s="3">
        <v>10</v>
      </c>
      <c r="P65" s="3">
        <v>14</v>
      </c>
      <c r="Q65" s="3" t="s">
        <v>200</v>
      </c>
      <c r="R65" s="3">
        <v>7</v>
      </c>
      <c r="S65" s="3">
        <v>9</v>
      </c>
      <c r="T65" s="3">
        <v>3</v>
      </c>
      <c r="V65" s="43"/>
      <c r="W65" s="43"/>
      <c r="X65" s="43">
        <f>$H65*(4+$F65)/6*11/6*1.5</f>
        <v>2.291666666666667</v>
      </c>
      <c r="Y65" s="43">
        <f t="shared" ref="Y65:AF65" si="16">$H65*(4+$F65)/6*11/6*1.5</f>
        <v>2.291666666666667</v>
      </c>
      <c r="Z65" s="43">
        <f t="shared" si="16"/>
        <v>2.291666666666667</v>
      </c>
      <c r="AA65" s="43">
        <f t="shared" si="16"/>
        <v>2.291666666666667</v>
      </c>
      <c r="AB65" s="43">
        <f t="shared" si="16"/>
        <v>2.291666666666667</v>
      </c>
      <c r="AC65" s="43">
        <f t="shared" si="16"/>
        <v>2.291666666666667</v>
      </c>
      <c r="AD65" s="43">
        <f t="shared" si="16"/>
        <v>2.291666666666667</v>
      </c>
      <c r="AE65" s="43">
        <f t="shared" si="16"/>
        <v>2.291666666666667</v>
      </c>
      <c r="AF65" s="43">
        <f t="shared" si="16"/>
        <v>2.291666666666667</v>
      </c>
      <c r="AG65" s="43"/>
      <c r="AH65" s="43"/>
      <c r="AI65" s="43">
        <f>$H65*(4+$G65)/6*11/6*1.5</f>
        <v>2.75</v>
      </c>
      <c r="AJ65" s="43">
        <f t="shared" ref="AJ65:AQ65" si="17">$H65*(4+$G65)/6*11/6*1.5</f>
        <v>2.75</v>
      </c>
      <c r="AK65" s="43">
        <f t="shared" si="17"/>
        <v>2.75</v>
      </c>
      <c r="AL65" s="43">
        <f t="shared" si="17"/>
        <v>2.75</v>
      </c>
      <c r="AM65" s="43">
        <f t="shared" si="17"/>
        <v>2.75</v>
      </c>
      <c r="AN65" s="43">
        <f t="shared" si="17"/>
        <v>2.75</v>
      </c>
      <c r="AO65" s="43">
        <f t="shared" si="17"/>
        <v>2.75</v>
      </c>
      <c r="AP65" s="43">
        <f t="shared" si="17"/>
        <v>2.75</v>
      </c>
      <c r="AQ65" s="43">
        <f t="shared" si="17"/>
        <v>2.75</v>
      </c>
      <c r="AS65" s="16">
        <f>IF($E65=1,AG65*3,IF($E65=2,2*AG65,1.1*AG65))/3</f>
        <v>0</v>
      </c>
      <c r="AT65" s="16">
        <f>IF($E65=1,AH65*3,IF($E65=2,2*AH65,1.1*AH65))/3</f>
        <v>0</v>
      </c>
      <c r="AU65" s="16">
        <f t="shared" si="9"/>
        <v>0.87083333333333324</v>
      </c>
      <c r="AV65" s="2">
        <v>17</v>
      </c>
    </row>
    <row r="66" spans="1:48" s="5" customFormat="1" x14ac:dyDescent="0.3">
      <c r="A66" s="5" t="s">
        <v>226</v>
      </c>
      <c r="B66" s="47">
        <v>20</v>
      </c>
      <c r="C66" s="47">
        <v>80</v>
      </c>
      <c r="D66" s="47"/>
      <c r="E66" s="47">
        <v>1</v>
      </c>
      <c r="F66" s="48">
        <v>1</v>
      </c>
      <c r="G66" s="48">
        <v>2</v>
      </c>
      <c r="H66" s="47">
        <v>1</v>
      </c>
      <c r="I66" s="47">
        <v>10</v>
      </c>
      <c r="J66" s="47" t="s">
        <v>215</v>
      </c>
      <c r="K66" s="47">
        <v>30</v>
      </c>
      <c r="L66" s="47" t="s">
        <v>227</v>
      </c>
      <c r="M66" s="47" t="s">
        <v>225</v>
      </c>
      <c r="N66" s="47">
        <v>10</v>
      </c>
      <c r="O66" s="47">
        <v>10</v>
      </c>
      <c r="P66" s="47">
        <v>14</v>
      </c>
      <c r="Q66" s="47" t="s">
        <v>200</v>
      </c>
      <c r="R66" s="47">
        <v>7</v>
      </c>
      <c r="S66" s="47">
        <v>9</v>
      </c>
      <c r="T66" s="47">
        <v>3</v>
      </c>
      <c r="U66" s="5" t="s">
        <v>228</v>
      </c>
      <c r="V66" s="49">
        <f>IF(ISNUMBER(SEARCH("Blast",$L66)), $H66*((4+$F66)/6+(2-$F66*0.5))*2/6*IF(ISNUMBER(SEARCH("Voidbreaker", $L66)),3,1), $H66*IF(ISNUMBER(SEARCH("Beam",$L66)),1,((4+$F66)/6 + IF(ISNUMBER(SEARCH("Rapid",$L66)),1/6,0)))*(2+IF(ISNUMBER(SEARCH("Shieldbane", $L66)),1,0))/6*IF(ISNUMBER(SEARCH("Voidbreaker", $L66)),3,1))*IF(OR(ISNUMBER(SEARCH("Melee",$L66)),ISNUMBER(SEARCH("Bypass",$L66))),0,1)</f>
        <v>0.27777777777777779</v>
      </c>
      <c r="W66" s="49">
        <f>IF(ISNUMBER(SEARCH("Blast",$L66)), $H66*((4+$F66)/6+(2-$F66*0.5))*3/6*IF(ISNUMBER(SEARCH("Voidbreaker", $L66)),3,1), $H66*IF(ISNUMBER(SEARCH("Beam",$L66)),1,((4+$F66)/6 + IF(ISNUMBER(SEARCH("Rapid",$L66)),1/6,0)))*(3+IF(ISNUMBER(SEARCH("Shieldbane", $L66)),1,0))/6*IF(ISNUMBER(SEARCH("Voidbreaker", $L66)),3,1))*IF(OR(ISNUMBER(SEARCH("Melee",$L66)),ISNUMBER(SEARCH("Bypass",$L66))),0,1)</f>
        <v>0.41666666666666669</v>
      </c>
      <c r="X66" s="50">
        <f t="shared" ref="X66:AF66" si="18">IF(ISNUMBER(SEARCH("Blast",$L66)), $H66 * ((4+$F66)/6+(2-$F66*0.5))*IF(X$24-$I66&gt;6, 0, IF(X$24-$I66 &lt;=1, 5/6, (7-(X$24-$I66))/6)), $H66 * IF(ISNUMBER(SEARCH("Beam",$L66)),2,((4+$F66)/6 + IF(ISNUMBER(SEARCH("Rapid",$L66)),1/6,0))) * IF(X$24-$I66 &lt;=1, 5/6, IF(X$24-$I66 &lt;=5, (7-(X$24-$I66))/6, IF(X$24-$I66 =6, IF(ISNUMBER(SEARCH("Rending",$L66)),0,(7-(X$24-$I66))/6), IF(X$24-$I66 =7, IF(ISNUMBER(SEARCH("Rending",$L66)),(7-(X$24-1-$I66))/6,0), IF(X$24-$I66 =8, IF(ISNUMBER(SEARCH("Rending",$L66)),2/3*(7-(X$24-2-$I66))/6,0), IF(X$24-$I66 =9, IF(ISNUMBER(SEARCH("Rending",$L66)),1/3*(7-(X$24-3-$I66))/6,0), 0)))))) * IF(ISNUMBER(SEARCH("Ordinance",$L66)),7/6,1))*IF(OR(ISNUMBER(SEARCH("Melee",$L66)),ISNUMBER(SEARCH("Bypass",$L66))),1.5,1)</f>
        <v>0.69444444444444453</v>
      </c>
      <c r="Y66" s="50">
        <f t="shared" si="18"/>
        <v>0.69444444444444453</v>
      </c>
      <c r="Z66" s="50">
        <f t="shared" si="18"/>
        <v>0.69444444444444453</v>
      </c>
      <c r="AA66" s="50">
        <f t="shared" si="18"/>
        <v>0.69444444444444453</v>
      </c>
      <c r="AB66" s="50">
        <f t="shared" si="18"/>
        <v>0.55555555555555558</v>
      </c>
      <c r="AC66" s="50">
        <f t="shared" si="18"/>
        <v>0.41666666666666669</v>
      </c>
      <c r="AD66" s="50">
        <f t="shared" si="18"/>
        <v>0.27777777777777779</v>
      </c>
      <c r="AE66" s="50">
        <f t="shared" si="18"/>
        <v>0.1388888888888889</v>
      </c>
      <c r="AF66" s="50">
        <f t="shared" si="18"/>
        <v>0</v>
      </c>
      <c r="AG66" s="49">
        <f>IF(ISNUMBER(SEARCH("Blast",$L66)), $H66*((4+$G66)/6+(2-$G66*0.5))*2/6*IF(ISNUMBER(SEARCH("Voidbreaker", $L66)),3,1), $H66*IF(ISNUMBER(SEARCH("Beam",$L66)),1,((4+$G66)/6 + IF(ISNUMBER(SEARCH("Rapid",$L66)),1/6,0)))*(2+IF(ISNUMBER(SEARCH("Shieldbane", $L66)),1,0))/6*IF(ISNUMBER(SEARCH("Voidbreaker", $L66)),3,1))*IF(OR(ISNUMBER(SEARCH("Melee",$L66)),ISNUMBER(SEARCH("Bypass",$L66))),0,1)</f>
        <v>0.33333333333333331</v>
      </c>
      <c r="AH66" s="49">
        <f>IF(ISNUMBER(SEARCH("Blast",$L66)), $H66*((4+$G66)/6+(2-$G66*0.5))*3/6*IF(ISNUMBER(SEARCH("Voidbreaker", $L66)),3,1), $H66*IF(ISNUMBER(SEARCH("Beam",$L66)),1,((4+$G66)/6 + IF(ISNUMBER(SEARCH("Rapid",$L66)),1/6,0)))*(3+IF(ISNUMBER(SEARCH("Shieldbane", $L66)),1,0))/6*IF(ISNUMBER(SEARCH("Voidbreaker", $L66)),3,1))*IF(OR(ISNUMBER(SEARCH("Melee",$L66)),ISNUMBER(SEARCH("Bypass",$L66))),0,1)</f>
        <v>0.5</v>
      </c>
      <c r="AI66" s="49">
        <f t="shared" ref="AI66:AQ66" si="19">IF(ISNUMBER(SEARCH("Blast",$L66)), $H66 * ((4+$G66)/6+(2-$G66*0.5))*IF(AI$24-$I66&gt;6, 0, IF(AI$24-$I66 &lt;=1, 5/6, (7-(AI$24-$I66))/6)), $H66 * IF(ISNUMBER(SEARCH("Beam",$L66)),2,((4+$G66)/6 + IF(ISNUMBER(SEARCH("Rapid",$L66)),1/6,0))) * IF(AI$24-$I66 &lt;=1, 5/6, IF(AI$24-$I66 &lt;=5, (7-(AI$24-$I66))/6, IF(AI$24-$I66 =6, IF(ISNUMBER(SEARCH("Rending",$L66)),0,(7-(AI$24-$I66))/6), IF(AI$24-$I66 =7, IF(ISNUMBER(SEARCH("Rending",$L66)),(7-(AI$24-1-$I66))/6,0), IF(AI$24-$I66 =8, IF(ISNUMBER(SEARCH("Rending",$L66)),2/3*(7-(AI$24-2-$I66))/6,0), IF(AI$24-$I66 =9, IF(ISNUMBER(SEARCH("Rending",$L66)),1/3*(7-(AI$24-3-$I66))/6,0), 0)))))) * IF(ISNUMBER(SEARCH("Ordinance",$L66)),7/6,1))*IF(OR(ISNUMBER(SEARCH("Melee",$L66)),ISNUMBER(SEARCH("Bypass",$L66))),1.5,1)</f>
        <v>0.83333333333333337</v>
      </c>
      <c r="AJ66" s="49">
        <f t="shared" si="19"/>
        <v>0.83333333333333337</v>
      </c>
      <c r="AK66" s="49">
        <f t="shared" si="19"/>
        <v>0.83333333333333337</v>
      </c>
      <c r="AL66" s="49">
        <f t="shared" si="19"/>
        <v>0.83333333333333337</v>
      </c>
      <c r="AM66" s="49">
        <f t="shared" si="19"/>
        <v>0.66666666666666663</v>
      </c>
      <c r="AN66" s="49">
        <f t="shared" si="19"/>
        <v>0.5</v>
      </c>
      <c r="AO66" s="49">
        <f t="shared" si="19"/>
        <v>0.33333333333333331</v>
      </c>
      <c r="AP66" s="49">
        <f t="shared" si="19"/>
        <v>0.16666666666666666</v>
      </c>
      <c r="AQ66" s="49">
        <f t="shared" si="19"/>
        <v>0</v>
      </c>
      <c r="AS66" s="49">
        <f>IF($E66=1,AG66*3,IF($E66=2,2*AG66,1.1*AG66))/3</f>
        <v>0.33333333333333331</v>
      </c>
      <c r="AT66" s="49">
        <f>IF($E66=1,AH66*3,IF($E66=2,2*AH66,1.1*AH66))/3</f>
        <v>0.5</v>
      </c>
      <c r="AU66" s="16">
        <f t="shared" si="9"/>
        <v>0.2638888888888889</v>
      </c>
      <c r="AV66" s="51">
        <v>12</v>
      </c>
    </row>
    <row r="67" spans="1:48" x14ac:dyDescent="0.3">
      <c r="A67" t="s">
        <v>214</v>
      </c>
      <c r="B67" s="3">
        <v>30</v>
      </c>
      <c r="C67" s="3">
        <v>120</v>
      </c>
      <c r="D67" s="3">
        <v>1</v>
      </c>
      <c r="E67" s="3">
        <v>2</v>
      </c>
      <c r="F67" s="10"/>
      <c r="G67" s="10">
        <v>1</v>
      </c>
      <c r="H67" s="3">
        <v>5</v>
      </c>
      <c r="I67" s="3">
        <v>4</v>
      </c>
      <c r="J67" s="3" t="s">
        <v>215</v>
      </c>
      <c r="K67" s="3">
        <v>10</v>
      </c>
      <c r="L67" s="3" t="s">
        <v>223</v>
      </c>
      <c r="M67" s="3" t="s">
        <v>225</v>
      </c>
      <c r="N67" s="3">
        <v>10</v>
      </c>
      <c r="O67" s="3">
        <v>10</v>
      </c>
      <c r="P67" s="3">
        <v>14</v>
      </c>
      <c r="Q67" s="3" t="s">
        <v>200</v>
      </c>
      <c r="R67" s="3">
        <v>7</v>
      </c>
      <c r="S67" s="3">
        <v>9</v>
      </c>
      <c r="T67" s="3">
        <v>4</v>
      </c>
      <c r="V67" s="16">
        <f t="shared" ref="V67:V130" si="20">IF(OR(ISNUMBER(SEARCH("Melee",$L67)),ISNUMBER(SEARCH("Bypass",$L67))),0, (($H67 *IF(ISNUMBER(SEARCH("Rapid",$L67)),7/6,1)*IF(OR(ISNUMBER(SEARCH("Beam",$L67)),ISNUMBER(SEARCH("Firestorm",$L67))),1, IF(ISNUMBER(SEARCH("Blast",$L67)),(4+$F67+(2-$F67)*0.5)/6*2,(4+$F67)/6)))+IF(ISNUMBER(SEARCH("Voidbreaker", $L67)),1.89,0)) *IF(ISNUMBER(SEARCH("Shieldbane", $L67)),3/6,2/6))</f>
        <v>1.1111111111111109</v>
      </c>
      <c r="W67" s="16">
        <f t="shared" ref="W67:W130" si="21">IF(OR(ISNUMBER(SEARCH("Melee",$L67)),ISNUMBER(SEARCH("Bypass",$L67))),0, (($H67 *IF(ISNUMBER(SEARCH("Rapid",$L67)),7/6,1)*IF(OR(ISNUMBER(SEARCH("Beam",$L67)),ISNUMBER(SEARCH("Firestorm",$L67))),1, IF(ISNUMBER(SEARCH("Blast",$L67)),(4+$F67+(2-$F67)*0.5)/6*2,(4+$F67)/6)))+IF(ISNUMBER(SEARCH("Voidbreaker", $L67)),1.89,0)) *IF(ISNUMBER(SEARCH("Shieldbane", $L67)),4/6,3/6))</f>
        <v>1.6666666666666665</v>
      </c>
      <c r="X67" s="17" cm="1">
        <f t="array" ref="X67">$H67 *
IF(ISNUMBER(SEARCH("Rapid",$L67)),7/6,1) *
IF(OR(ISNUMBER(SEARCH("Beam",$L67)),ISNUMBER(SEARCH("Firestorm",$L67))),1, IF(ISNUMBER(SEARCH("Blast",$L67)),(4+$F67+(2-$F67)*0.5)/6*2,(4+$F67)/6)) *
IF(ISNUMBER(SEARCH("Fusion",$L67)), _xlfn.IFS(X$24-$I67 &lt;=1, 9/10, X$24-$I67 &lt;=10,(11-(X$24-$I67))/10, X$24-$I67 &gt;=11, 0),
_xlfn.IFS(X$24-$I67 &lt;=1, 5/6, X$24-$I67 &lt;=5, (7-(X$24-$I67))/6, AND(X$24-$I67 =6,NOT(_xlfn.IFNA(ISNUMBER(SEARCH("Rending",$L67)),FALSE))), (7-(X$24-$I67))/6, AND(X$24-$I67 &gt;=7,NOT(_xlfn.IFNA(ISNUMBER(SEARCH("Rending",$L67)),FALSE))), 0, X$24-$I67 =7, (7-(X$24-1-$I67))/6, X$24-$I67 =8, (7-(X$24-2-$I67))/6*2/3, X$24-$I67 =9, (7-(X$24-3-$I67))/6*1/3, TRUE, 0)) *
IF(ISNUMBER(SEARCH("Ordinance",$L67)),7/6,1) *
IF(OR(ISNUMBER(SEARCH("Melee",$L67)),ISNUMBER(SEARCH("Bypass",$L67))),1.5,1)</f>
        <v>1.1111111111111109</v>
      </c>
      <c r="Y67" s="17" cm="1">
        <f t="array" ref="Y67">$H67 *
IF(ISNUMBER(SEARCH("Rapid",$L67)),7/6,1) *
IF(OR(ISNUMBER(SEARCH("Beam",$L67)),ISNUMBER(SEARCH("Firestorm",$L67))),1, IF(ISNUMBER(SEARCH("Blast",$L67)),(4+$F67+(2-$F67)*0.5)/6*2,(4+$F67)/6)) *
IF(ISNUMBER(SEARCH("Fusion",$L67)), _xlfn.IFS(Y$24-$I67 &lt;=1, 9/10, Y$24-$I67 &lt;=10,(11-(Y$24-$I67))/10, Y$24-$I67 &gt;=11, 0),
_xlfn.IFS(Y$24-$I67 &lt;=1, 5/6, Y$24-$I67 &lt;=5, (7-(Y$24-$I67))/6, AND(Y$24-$I67 =6,NOT(_xlfn.IFNA(ISNUMBER(SEARCH("Rending",$L67)),FALSE))), (7-(Y$24-$I67))/6, AND(Y$24-$I67 &gt;=7,NOT(_xlfn.IFNA(ISNUMBER(SEARCH("Rending",$L67)),FALSE))), 0, Y$24-$I67 =7, (7-(Y$24-1-$I67))/6, Y$24-$I67 =8, (7-(Y$24-2-$I67))/6*2/3, Y$24-$I67 =9, (7-(Y$24-3-$I67))/6*1/3, TRUE, 0)) *
IF(ISNUMBER(SEARCH("Ordinance",$L67)),7/6,1) *
IF(OR(ISNUMBER(SEARCH("Melee",$L67)),ISNUMBER(SEARCH("Bypass",$L67))),1.5,1)</f>
        <v>0.55555555555555547</v>
      </c>
      <c r="Z67" s="17" cm="1">
        <f t="array" ref="Z67">$H67 *
IF(ISNUMBER(SEARCH("Rapid",$L67)),7/6,1) *
IF(OR(ISNUMBER(SEARCH("Beam",$L67)),ISNUMBER(SEARCH("Firestorm",$L67))),1, IF(ISNUMBER(SEARCH("Blast",$L67)),(4+$F67+(2-$F67)*0.5)/6*2,(4+$F67)/6)) *
IF(ISNUMBER(SEARCH("Fusion",$L67)), _xlfn.IFS(Z$24-$I67 &lt;=1, 9/10, Z$24-$I67 &lt;=10,(11-(Z$24-$I67))/10, Z$24-$I67 &gt;=11, 0),
_xlfn.IFS(Z$24-$I67 &lt;=1, 5/6, Z$24-$I67 &lt;=5, (7-(Z$24-$I67))/6, AND(Z$24-$I67 =6,NOT(_xlfn.IFNA(ISNUMBER(SEARCH("Rending",$L67)),FALSE))), (7-(Z$24-$I67))/6, AND(Z$24-$I67 &gt;=7,NOT(_xlfn.IFNA(ISNUMBER(SEARCH("Rending",$L67)),FALSE))), 0, Z$24-$I67 =7, (7-(Z$24-1-$I67))/6, Z$24-$I67 =8, (7-(Z$24-2-$I67))/6*2/3, Z$24-$I67 =9, (7-(Z$24-3-$I67))/6*1/3, TRUE, 0)) *
IF(ISNUMBER(SEARCH("Ordinance",$L67)),7/6,1) *
IF(OR(ISNUMBER(SEARCH("Melee",$L67)),ISNUMBER(SEARCH("Bypass",$L67))),1.5,1)</f>
        <v>0</v>
      </c>
      <c r="AA67" s="17" cm="1">
        <f t="array" ref="AA67">$H67 *
IF(ISNUMBER(SEARCH("Rapid",$L67)),7/6,1) *
IF(OR(ISNUMBER(SEARCH("Beam",$L67)),ISNUMBER(SEARCH("Firestorm",$L67))),1, IF(ISNUMBER(SEARCH("Blast",$L67)),(4+$F67+(2-$F67)*0.5)/6*2,(4+$F67)/6)) *
IF(ISNUMBER(SEARCH("Fusion",$L67)), _xlfn.IFS(AA$24-$I67 &lt;=1, 9/10, AA$24-$I67 &lt;=10,(11-(AA$24-$I67))/10, AA$24-$I67 &gt;=11, 0),
_xlfn.IFS(AA$24-$I67 &lt;=1, 5/6, AA$24-$I67 &lt;=5, (7-(AA$24-$I67))/6, AND(AA$24-$I67 =6,NOT(_xlfn.IFNA(ISNUMBER(SEARCH("Rending",$L67)),FALSE))), (7-(AA$24-$I67))/6, AND(AA$24-$I67 &gt;=7,NOT(_xlfn.IFNA(ISNUMBER(SEARCH("Rending",$L67)),FALSE))), 0, AA$24-$I67 =7, (7-(AA$24-1-$I67))/6, AA$24-$I67 =8, (7-(AA$24-2-$I67))/6*2/3, AA$24-$I67 =9, (7-(AA$24-3-$I67))/6*1/3, TRUE, 0)) *
IF(ISNUMBER(SEARCH("Ordinance",$L67)),7/6,1) *
IF(OR(ISNUMBER(SEARCH("Melee",$L67)),ISNUMBER(SEARCH("Bypass",$L67))),1.5,1)</f>
        <v>0</v>
      </c>
      <c r="AB67" s="17" cm="1">
        <f t="array" ref="AB67">$H67 *
IF(ISNUMBER(SEARCH("Rapid",$L67)),7/6,1) *
IF(OR(ISNUMBER(SEARCH("Beam",$L67)),ISNUMBER(SEARCH("Firestorm",$L67))),1, IF(ISNUMBER(SEARCH("Blast",$L67)),(4+$F67+(2-$F67)*0.5)/6*2,(4+$F67)/6)) *
IF(ISNUMBER(SEARCH("Fusion",$L67)), _xlfn.IFS(AB$24-$I67 &lt;=1, 9/10, AB$24-$I67 &lt;=10,(11-(AB$24-$I67))/10, AB$24-$I67 &gt;=11, 0),
_xlfn.IFS(AB$24-$I67 &lt;=1, 5/6, AB$24-$I67 &lt;=5, (7-(AB$24-$I67))/6, AND(AB$24-$I67 =6,NOT(_xlfn.IFNA(ISNUMBER(SEARCH("Rending",$L67)),FALSE))), (7-(AB$24-$I67))/6, AND(AB$24-$I67 &gt;=7,NOT(_xlfn.IFNA(ISNUMBER(SEARCH("Rending",$L67)),FALSE))), 0, AB$24-$I67 =7, (7-(AB$24-1-$I67))/6, AB$24-$I67 =8, (7-(AB$24-2-$I67))/6*2/3, AB$24-$I67 =9, (7-(AB$24-3-$I67))/6*1/3, TRUE, 0)) *
IF(ISNUMBER(SEARCH("Ordinance",$L67)),7/6,1) *
IF(OR(ISNUMBER(SEARCH("Melee",$L67)),ISNUMBER(SEARCH("Bypass",$L67))),1.5,1)</f>
        <v>0</v>
      </c>
      <c r="AC67" s="17" cm="1">
        <f t="array" ref="AC67">$H67 *
IF(ISNUMBER(SEARCH("Rapid",$L67)),7/6,1) *
IF(OR(ISNUMBER(SEARCH("Beam",$L67)),ISNUMBER(SEARCH("Firestorm",$L67))),1, IF(ISNUMBER(SEARCH("Blast",$L67)),(4+$F67+(2-$F67)*0.5)/6*2,(4+$F67)/6)) *
IF(ISNUMBER(SEARCH("Fusion",$L67)), _xlfn.IFS(AC$24-$I67 &lt;=1, 9/10, AC$24-$I67 &lt;=10,(11-(AC$24-$I67))/10, AC$24-$I67 &gt;=11, 0),
_xlfn.IFS(AC$24-$I67 &lt;=1, 5/6, AC$24-$I67 &lt;=5, (7-(AC$24-$I67))/6, AND(AC$24-$I67 =6,NOT(_xlfn.IFNA(ISNUMBER(SEARCH("Rending",$L67)),FALSE))), (7-(AC$24-$I67))/6, AND(AC$24-$I67 &gt;=7,NOT(_xlfn.IFNA(ISNUMBER(SEARCH("Rending",$L67)),FALSE))), 0, AC$24-$I67 =7, (7-(AC$24-1-$I67))/6, AC$24-$I67 =8, (7-(AC$24-2-$I67))/6*2/3, AC$24-$I67 =9, (7-(AC$24-3-$I67))/6*1/3, TRUE, 0)) *
IF(ISNUMBER(SEARCH("Ordinance",$L67)),7/6,1) *
IF(OR(ISNUMBER(SEARCH("Melee",$L67)),ISNUMBER(SEARCH("Bypass",$L67))),1.5,1)</f>
        <v>0</v>
      </c>
      <c r="AD67" s="17" cm="1">
        <f t="array" ref="AD67">$H67 *
IF(ISNUMBER(SEARCH("Rapid",$L67)),7/6,1) *
IF(OR(ISNUMBER(SEARCH("Beam",$L67)),ISNUMBER(SEARCH("Firestorm",$L67))),1, IF(ISNUMBER(SEARCH("Blast",$L67)),(4+$F67+(2-$F67)*0.5)/6*2,(4+$F67)/6)) *
IF(ISNUMBER(SEARCH("Fusion",$L67)), _xlfn.IFS(AD$24-$I67 &lt;=1, 9/10, AD$24-$I67 &lt;=10,(11-(AD$24-$I67))/10, AD$24-$I67 &gt;=11, 0),
_xlfn.IFS(AD$24-$I67 &lt;=1, 5/6, AD$24-$I67 &lt;=5, (7-(AD$24-$I67))/6, AND(AD$24-$I67 =6,NOT(_xlfn.IFNA(ISNUMBER(SEARCH("Rending",$L67)),FALSE))), (7-(AD$24-$I67))/6, AND(AD$24-$I67 &gt;=7,NOT(_xlfn.IFNA(ISNUMBER(SEARCH("Rending",$L67)),FALSE))), 0, AD$24-$I67 =7, (7-(AD$24-1-$I67))/6, AD$24-$I67 =8, (7-(AD$24-2-$I67))/6*2/3, AD$24-$I67 =9, (7-(AD$24-3-$I67))/6*1/3, TRUE, 0)) *
IF(ISNUMBER(SEARCH("Ordinance",$L67)),7/6,1) *
IF(OR(ISNUMBER(SEARCH("Melee",$L67)),ISNUMBER(SEARCH("Bypass",$L67))),1.5,1)</f>
        <v>0</v>
      </c>
      <c r="AE67" s="17" cm="1">
        <f t="array" ref="AE67">$H67 *
IF(ISNUMBER(SEARCH("Rapid",$L67)),7/6,1) *
IF(OR(ISNUMBER(SEARCH("Beam",$L67)),ISNUMBER(SEARCH("Firestorm",$L67))),1, IF(ISNUMBER(SEARCH("Blast",$L67)),(4+$F67+(2-$F67)*0.5)/6*2,(4+$F67)/6)) *
IF(ISNUMBER(SEARCH("Fusion",$L67)), _xlfn.IFS(AE$24-$I67 &lt;=1, 9/10, AE$24-$I67 &lt;=10,(11-(AE$24-$I67))/10, AE$24-$I67 &gt;=11, 0),
_xlfn.IFS(AE$24-$I67 &lt;=1, 5/6, AE$24-$I67 &lt;=5, (7-(AE$24-$I67))/6, AND(AE$24-$I67 =6,NOT(_xlfn.IFNA(ISNUMBER(SEARCH("Rending",$L67)),FALSE))), (7-(AE$24-$I67))/6, AND(AE$24-$I67 &gt;=7,NOT(_xlfn.IFNA(ISNUMBER(SEARCH("Rending",$L67)),FALSE))), 0, AE$24-$I67 =7, (7-(AE$24-1-$I67))/6, AE$24-$I67 =8, (7-(AE$24-2-$I67))/6*2/3, AE$24-$I67 =9, (7-(AE$24-3-$I67))/6*1/3, TRUE, 0)) *
IF(ISNUMBER(SEARCH("Ordinance",$L67)),7/6,1) *
IF(OR(ISNUMBER(SEARCH("Melee",$L67)),ISNUMBER(SEARCH("Bypass",$L67))),1.5,1)</f>
        <v>0</v>
      </c>
      <c r="AF67" s="17" cm="1">
        <f t="array" ref="AF67">$H67 *
IF(ISNUMBER(SEARCH("Rapid",$L67)),7/6,1) *
IF(OR(ISNUMBER(SEARCH("Beam",$L67)),ISNUMBER(SEARCH("Firestorm",$L67))),1, IF(ISNUMBER(SEARCH("Blast",$L67)),(4+$F67+(2-$F67)*0.5)/6*2,(4+$F67)/6)) *
IF(ISNUMBER(SEARCH("Fusion",$L67)), _xlfn.IFS(AF$24-$I67 &lt;=1, 9/10, AF$24-$I67 &lt;=10,(11-(AF$24-$I67))/10, AF$24-$I67 &gt;=11, 0),
_xlfn.IFS(AF$24-$I67 &lt;=1, 5/6, AF$24-$I67 &lt;=5, (7-(AF$24-$I67))/6, AND(AF$24-$I67 =6,NOT(_xlfn.IFNA(ISNUMBER(SEARCH("Rending",$L67)),FALSE))), (7-(AF$24-$I67))/6, AND(AF$24-$I67 &gt;=7,NOT(_xlfn.IFNA(ISNUMBER(SEARCH("Rending",$L67)),FALSE))), 0, AF$24-$I67 =7, (7-(AF$24-1-$I67))/6, AF$24-$I67 =8, (7-(AF$24-2-$I67))/6*2/3, AF$24-$I67 =9, (7-(AF$24-3-$I67))/6*1/3, TRUE, 0)) *
IF(ISNUMBER(SEARCH("Ordinance",$L67)),7/6,1) *
IF(OR(ISNUMBER(SEARCH("Melee",$L67)),ISNUMBER(SEARCH("Bypass",$L67))),1.5,1)</f>
        <v>0</v>
      </c>
      <c r="AG67" s="16">
        <f t="shared" ref="AG67:AG130" si="22">IF(OR(ISNUMBER(SEARCH("Melee",$L67)),ISNUMBER(SEARCH("Bypass",$L67))),0, (($H67 *IF(ISNUMBER(SEARCH("Rapid",$L67)),7/6,1)*IF(OR(ISNUMBER(SEARCH("Beam",$L67)),ISNUMBER(SEARCH("Firestorm",$L67))),1, IF(ISNUMBER(SEARCH("Blast",$L67)),(4+$G67+(2-$G67)*0.5)/6*2,(4+$G67)/6)))+IF(ISNUMBER(SEARCH("Voidbreaker", $L67)),1.89,0)) *IF(ISNUMBER(SEARCH("Shieldbane", $L67)),3/6,2/6))</f>
        <v>1.3888888888888888</v>
      </c>
      <c r="AH67" s="16">
        <f t="shared" ref="AH67:AH130" si="23">IF(OR(ISNUMBER(SEARCH("Melee",$L67)),ISNUMBER(SEARCH("Bypass",$L67))),0, (($H67 *IF(ISNUMBER(SEARCH("Rapid",$L67)),7/6,1)*IF(OR(ISNUMBER(SEARCH("Beam",$L67)),ISNUMBER(SEARCH("Firestorm",$L67))),1, IF(ISNUMBER(SEARCH("Blast",$L67)),(4+$G67+(2-$G67)*0.5)/6*2,(4+$G67)/6)))+IF(ISNUMBER(SEARCH("Voidbreaker", $L67)),1.89,0)) *IF(ISNUMBER(SEARCH("Shieldbane", $L67)),4/6,3/6))</f>
        <v>2.0833333333333335</v>
      </c>
      <c r="AI67" s="17" cm="1">
        <f t="array" ref="AI67">$H67 *
IF(ISNUMBER(SEARCH("Rapid",$L67)),7/6,1) *
IF(OR(ISNUMBER(SEARCH("Beam",$L67)),ISNUMBER(SEARCH("Firestorm",$L67))),1, IF(ISNUMBER(SEARCH("Blast",$L67)),(4+$G67+(2-$G67)*0.5)/6*2,(4+$G67)/6)) *
_xlfn.IFS(AI$24-$I67 &lt;=1, 5/6, AI$24-$I67 &lt;=5, (7-(AI$24-$I67))/6, AND(AI$24-$I67 =6,NOT(_xlfn.IFNA(ISNUMBER(SEARCH("Rending",$L67)),FALSE))), (7-(AI$24-$I67))/6, AND(AI$24-$I67 &gt;=7,NOT(_xlfn.IFNA(ISNUMBER(SEARCH("Rending",$L67)),FALSE))), 0, AI$24-$I67 =7, (7-(AI$24-1-$I67))/6, AI$24-$I67 =8, (7-(AI$24-2-$I67))/6*2/3, AI$24-$I67 =9, (7-(AI$24-3-$I67))/6*1/3, TRUE, 0) *
IF(ISNUMBER(SEARCH("Ordinance",$L67)),7/6,1) *
IF(OR(ISNUMBER(SEARCH("Melee",$L67)),ISNUMBER(SEARCH("Bypass",$L67))),1.5,1)</f>
        <v>1.3888888888888888</v>
      </c>
      <c r="AJ67" s="17" cm="1">
        <f t="array" ref="AJ67">$H67 *
IF(ISNUMBER(SEARCH("Rapid",$L67)),7/6,1) *
IF(OR(ISNUMBER(SEARCH("Beam",$L67)),ISNUMBER(SEARCH("Firestorm",$L67))),1, IF(ISNUMBER(SEARCH("Blast",$L67)),(4+$G67+(2-$G67)*0.5)/6*2,(4+$G67)/6)) *
_xlfn.IFS(AJ$24-$I67 &lt;=1, 5/6, AJ$24-$I67 &lt;=5, (7-(AJ$24-$I67))/6, AND(AJ$24-$I67 =6,NOT(_xlfn.IFNA(ISNUMBER(SEARCH("Rending",$L67)),FALSE))), (7-(AJ$24-$I67))/6, AND(AJ$24-$I67 &gt;=7,NOT(_xlfn.IFNA(ISNUMBER(SEARCH("Rending",$L67)),FALSE))), 0, AJ$24-$I67 =7, (7-(AJ$24-1-$I67))/6, AJ$24-$I67 =8, (7-(AJ$24-2-$I67))/6*2/3, AJ$24-$I67 =9, (7-(AJ$24-3-$I67))/6*1/3, TRUE, 0) *
IF(ISNUMBER(SEARCH("Ordinance",$L67)),7/6,1) *
IF(OR(ISNUMBER(SEARCH("Melee",$L67)),ISNUMBER(SEARCH("Bypass",$L67))),1.5,1)</f>
        <v>0.69444444444444442</v>
      </c>
      <c r="AK67" s="17" cm="1">
        <f t="array" ref="AK67">$H67 *
IF(ISNUMBER(SEARCH("Rapid",$L67)),7/6,1) *
IF(OR(ISNUMBER(SEARCH("Beam",$L67)),ISNUMBER(SEARCH("Firestorm",$L67))),1, IF(ISNUMBER(SEARCH("Blast",$L67)),(4+$G67+(2-$G67)*0.5)/6*2,(4+$G67)/6)) *
_xlfn.IFS(AK$24-$I67 &lt;=1, 5/6, AK$24-$I67 &lt;=5, (7-(AK$24-$I67))/6, AND(AK$24-$I67 =6,NOT(_xlfn.IFNA(ISNUMBER(SEARCH("Rending",$L67)),FALSE))), (7-(AK$24-$I67))/6, AND(AK$24-$I67 &gt;=7,NOT(_xlfn.IFNA(ISNUMBER(SEARCH("Rending",$L67)),FALSE))), 0, AK$24-$I67 =7, (7-(AK$24-1-$I67))/6, AK$24-$I67 =8, (7-(AK$24-2-$I67))/6*2/3, AK$24-$I67 =9, (7-(AK$24-3-$I67))/6*1/3, TRUE, 0) *
IF(ISNUMBER(SEARCH("Ordinance",$L67)),7/6,1) *
IF(OR(ISNUMBER(SEARCH("Melee",$L67)),ISNUMBER(SEARCH("Bypass",$L67))),1.5,1)</f>
        <v>0</v>
      </c>
      <c r="AL67" s="17" cm="1">
        <f t="array" ref="AL67">$H67 *
IF(ISNUMBER(SEARCH("Rapid",$L67)),7/6,1) *
IF(OR(ISNUMBER(SEARCH("Beam",$L67)),ISNUMBER(SEARCH("Firestorm",$L67))),1, IF(ISNUMBER(SEARCH("Blast",$L67)),(4+$G67+(2-$G67)*0.5)/6*2,(4+$G67)/6)) *
_xlfn.IFS(AL$24-$I67 &lt;=1, 5/6, AL$24-$I67 &lt;=5, (7-(AL$24-$I67))/6, AND(AL$24-$I67 =6,NOT(_xlfn.IFNA(ISNUMBER(SEARCH("Rending",$L67)),FALSE))), (7-(AL$24-$I67))/6, AND(AL$24-$I67 &gt;=7,NOT(_xlfn.IFNA(ISNUMBER(SEARCH("Rending",$L67)),FALSE))), 0, AL$24-$I67 =7, (7-(AL$24-1-$I67))/6, AL$24-$I67 =8, (7-(AL$24-2-$I67))/6*2/3, AL$24-$I67 =9, (7-(AL$24-3-$I67))/6*1/3, TRUE, 0) *
IF(ISNUMBER(SEARCH("Ordinance",$L67)),7/6,1) *
IF(OR(ISNUMBER(SEARCH("Melee",$L67)),ISNUMBER(SEARCH("Bypass",$L67))),1.5,1)</f>
        <v>0</v>
      </c>
      <c r="AM67" s="17" cm="1">
        <f t="array" ref="AM67">$H67 *
IF(ISNUMBER(SEARCH("Rapid",$L67)),7/6,1) *
IF(OR(ISNUMBER(SEARCH("Beam",$L67)),ISNUMBER(SEARCH("Firestorm",$L67))),1, IF(ISNUMBER(SEARCH("Blast",$L67)),(4+$G67+(2-$G67)*0.5)/6*2,(4+$G67)/6)) *
_xlfn.IFS(AM$24-$I67 &lt;=1, 5/6, AM$24-$I67 &lt;=5, (7-(AM$24-$I67))/6, AND(AM$24-$I67 =6,NOT(_xlfn.IFNA(ISNUMBER(SEARCH("Rending",$L67)),FALSE))), (7-(AM$24-$I67))/6, AND(AM$24-$I67 &gt;=7,NOT(_xlfn.IFNA(ISNUMBER(SEARCH("Rending",$L67)),FALSE))), 0, AM$24-$I67 =7, (7-(AM$24-1-$I67))/6, AM$24-$I67 =8, (7-(AM$24-2-$I67))/6*2/3, AM$24-$I67 =9, (7-(AM$24-3-$I67))/6*1/3, TRUE, 0) *
IF(ISNUMBER(SEARCH("Ordinance",$L67)),7/6,1) *
IF(OR(ISNUMBER(SEARCH("Melee",$L67)),ISNUMBER(SEARCH("Bypass",$L67))),1.5,1)</f>
        <v>0</v>
      </c>
      <c r="AN67" s="17" cm="1">
        <f t="array" ref="AN67">$H67 *
IF(ISNUMBER(SEARCH("Rapid",$L67)),7/6,1) *
IF(OR(ISNUMBER(SEARCH("Beam",$L67)),ISNUMBER(SEARCH("Firestorm",$L67))),1, IF(ISNUMBER(SEARCH("Blast",$L67)),(4+$G67+(2-$G67)*0.5)/6*2,(4+$G67)/6)) *
_xlfn.IFS(AN$24-$I67 &lt;=1, 5/6, AN$24-$I67 &lt;=5, (7-(AN$24-$I67))/6, AND(AN$24-$I67 =6,NOT(_xlfn.IFNA(ISNUMBER(SEARCH("Rending",$L67)),FALSE))), (7-(AN$24-$I67))/6, AND(AN$24-$I67 &gt;=7,NOT(_xlfn.IFNA(ISNUMBER(SEARCH("Rending",$L67)),FALSE))), 0, AN$24-$I67 =7, (7-(AN$24-1-$I67))/6, AN$24-$I67 =8, (7-(AN$24-2-$I67))/6*2/3, AN$24-$I67 =9, (7-(AN$24-3-$I67))/6*1/3, TRUE, 0) *
IF(ISNUMBER(SEARCH("Ordinance",$L67)),7/6,1) *
IF(OR(ISNUMBER(SEARCH("Melee",$L67)),ISNUMBER(SEARCH("Bypass",$L67))),1.5,1)</f>
        <v>0</v>
      </c>
      <c r="AO67" s="17" cm="1">
        <f t="array" ref="AO67">$H67 *
IF(ISNUMBER(SEARCH("Rapid",$L67)),7/6,1) *
IF(OR(ISNUMBER(SEARCH("Beam",$L67)),ISNUMBER(SEARCH("Firestorm",$L67))),1, IF(ISNUMBER(SEARCH("Blast",$L67)),(4+$G67+(2-$G67)*0.5)/6*2,(4+$G67)/6)) *
_xlfn.IFS(AO$24-$I67 &lt;=1, 5/6, AO$24-$I67 &lt;=5, (7-(AO$24-$I67))/6, AND(AO$24-$I67 =6,NOT(_xlfn.IFNA(ISNUMBER(SEARCH("Rending",$L67)),FALSE))), (7-(AO$24-$I67))/6, AND(AO$24-$I67 &gt;=7,NOT(_xlfn.IFNA(ISNUMBER(SEARCH("Rending",$L67)),FALSE))), 0, AO$24-$I67 =7, (7-(AO$24-1-$I67))/6, AO$24-$I67 =8, (7-(AO$24-2-$I67))/6*2/3, AO$24-$I67 =9, (7-(AO$24-3-$I67))/6*1/3, TRUE, 0) *
IF(ISNUMBER(SEARCH("Ordinance",$L67)),7/6,1) *
IF(OR(ISNUMBER(SEARCH("Melee",$L67)),ISNUMBER(SEARCH("Bypass",$L67))),1.5,1)</f>
        <v>0</v>
      </c>
      <c r="AP67" s="17" cm="1">
        <f t="array" ref="AP67">$H67 *
IF(ISNUMBER(SEARCH("Rapid",$L67)),7/6,1) *
IF(OR(ISNUMBER(SEARCH("Beam",$L67)),ISNUMBER(SEARCH("Firestorm",$L67))),1, IF(ISNUMBER(SEARCH("Blast",$L67)),(4+$G67+(2-$G67)*0.5)/6*2,(4+$G67)/6)) *
_xlfn.IFS(AP$24-$I67 &lt;=1, 5/6, AP$24-$I67 &lt;=5, (7-(AP$24-$I67))/6, AND(AP$24-$I67 =6,NOT(_xlfn.IFNA(ISNUMBER(SEARCH("Rending",$L67)),FALSE))), (7-(AP$24-$I67))/6, AND(AP$24-$I67 &gt;=7,NOT(_xlfn.IFNA(ISNUMBER(SEARCH("Rending",$L67)),FALSE))), 0, AP$24-$I67 =7, (7-(AP$24-1-$I67))/6, AP$24-$I67 =8, (7-(AP$24-2-$I67))/6*2/3, AP$24-$I67 =9, (7-(AP$24-3-$I67))/6*1/3, TRUE, 0) *
IF(ISNUMBER(SEARCH("Ordinance",$L67)),7/6,1) *
IF(OR(ISNUMBER(SEARCH("Melee",$L67)),ISNUMBER(SEARCH("Bypass",$L67))),1.5,1)</f>
        <v>0</v>
      </c>
      <c r="AQ67" s="17" cm="1">
        <f t="array" ref="AQ67">$H67 *
IF(ISNUMBER(SEARCH("Rapid",$L67)),7/6,1) *
IF(OR(ISNUMBER(SEARCH("Beam",$L67)),ISNUMBER(SEARCH("Firestorm",$L67))),1, IF(ISNUMBER(SEARCH("Blast",$L67)),(4+$G67+(2-$G67)*0.5)/6*2,(4+$G67)/6)) *
_xlfn.IFS(AQ$24-$I67 &lt;=1, 5/6, AQ$24-$I67 &lt;=5, (7-(AQ$24-$I67))/6, AND(AQ$24-$I67 =6,NOT(_xlfn.IFNA(ISNUMBER(SEARCH("Rending",$L67)),FALSE))), (7-(AQ$24-$I67))/6, AND(AQ$24-$I67 &gt;=7,NOT(_xlfn.IFNA(ISNUMBER(SEARCH("Rending",$L67)),FALSE))), 0, AQ$24-$I67 =7, (7-(AQ$24-1-$I67))/6, AQ$24-$I67 =8, (7-(AQ$24-2-$I67))/6*2/3, AQ$24-$I67 =9, (7-(AQ$24-3-$I67))/6*1/3, TRUE, 0) *
IF(ISNUMBER(SEARCH("Ordinance",$L67)),7/6,1) *
IF(OR(ISNUMBER(SEARCH("Melee",$L67)),ISNUMBER(SEARCH("Bypass",$L67))),1.5,1)</f>
        <v>0</v>
      </c>
      <c r="AS67" s="16">
        <f t="shared" si="11"/>
        <v>0.92592592592592593</v>
      </c>
      <c r="AT67" s="16">
        <f t="shared" si="12"/>
        <v>1.3888888888888891</v>
      </c>
      <c r="AU67" s="16">
        <f t="shared" si="9"/>
        <v>1.0925925925925926</v>
      </c>
      <c r="AV67" s="2">
        <v>9</v>
      </c>
    </row>
    <row r="68" spans="1:48" x14ac:dyDescent="0.3">
      <c r="A68" t="s">
        <v>263</v>
      </c>
      <c r="B68" s="3">
        <v>30</v>
      </c>
      <c r="C68" s="3">
        <v>120</v>
      </c>
      <c r="D68" s="3">
        <v>1</v>
      </c>
      <c r="E68" s="3">
        <v>2</v>
      </c>
      <c r="F68" s="10"/>
      <c r="G68" s="10">
        <v>1</v>
      </c>
      <c r="H68" s="3">
        <v>5</v>
      </c>
      <c r="I68" s="3">
        <v>4</v>
      </c>
      <c r="J68" s="3" t="s">
        <v>215</v>
      </c>
      <c r="K68" s="3">
        <v>35</v>
      </c>
      <c r="L68" s="3" t="s">
        <v>265</v>
      </c>
      <c r="M68" s="3" t="s">
        <v>225</v>
      </c>
      <c r="N68" s="3">
        <v>10</v>
      </c>
      <c r="O68" s="3">
        <v>10</v>
      </c>
      <c r="P68" s="3">
        <v>14</v>
      </c>
      <c r="Q68" s="3" t="s">
        <v>200</v>
      </c>
      <c r="R68" s="3">
        <v>7</v>
      </c>
      <c r="S68" s="3">
        <v>9</v>
      </c>
      <c r="T68" s="3">
        <v>4</v>
      </c>
      <c r="U68" t="s">
        <v>264</v>
      </c>
      <c r="V68" s="16">
        <f t="shared" si="20"/>
        <v>1.7411111111111108</v>
      </c>
      <c r="W68" s="16">
        <f t="shared" si="21"/>
        <v>2.6116666666666664</v>
      </c>
      <c r="X68" s="17" cm="1">
        <f t="array" ref="X68">$H68 *
IF(ISNUMBER(SEARCH("Rapid",$L68)),7/6,1) *
IF(OR(ISNUMBER(SEARCH("Beam",$L68)),ISNUMBER(SEARCH("Firestorm",$L68))),1, IF(ISNUMBER(SEARCH("Blast",$L68)),(4+$F68+(2-$F68)*0.5)/6*2,(4+$F68)/6)) *
IF(ISNUMBER(SEARCH("Fusion",$L68)), _xlfn.IFS(X$24-$I68 &lt;=1, 9/10, X$24-$I68 &lt;=10,(11-(X$24-$I68))/10, X$24-$I68 &gt;=11, 0),
_xlfn.IFS(X$24-$I68 &lt;=1, 5/6, X$24-$I68 &lt;=5, (7-(X$24-$I68))/6, AND(X$24-$I68 =6,NOT(_xlfn.IFNA(ISNUMBER(SEARCH("Rending",$L68)),FALSE))), (7-(X$24-$I68))/6, AND(X$24-$I68 &gt;=7,NOT(_xlfn.IFNA(ISNUMBER(SEARCH("Rending",$L68)),FALSE))), 0, X$24-$I68 =7, (7-(X$24-1-$I68))/6, X$24-$I68 =8, (7-(X$24-2-$I68))/6*2/3, X$24-$I68 =9, (7-(X$24-3-$I68))/6*1/3, TRUE, 0)) *
IF(ISNUMBER(SEARCH("Ordinance",$L68)),7/6,1) *
IF(OR(ISNUMBER(SEARCH("Melee",$L68)),ISNUMBER(SEARCH("Bypass",$L68))),1.5,1)</f>
        <v>1.1111111111111109</v>
      </c>
      <c r="Y68" s="17" cm="1">
        <f t="array" ref="Y68">$H68 *
IF(ISNUMBER(SEARCH("Rapid",$L68)),7/6,1) *
IF(OR(ISNUMBER(SEARCH("Beam",$L68)),ISNUMBER(SEARCH("Firestorm",$L68))),1, IF(ISNUMBER(SEARCH("Blast",$L68)),(4+$F68+(2-$F68)*0.5)/6*2,(4+$F68)/6)) *
IF(ISNUMBER(SEARCH("Fusion",$L68)), _xlfn.IFS(Y$24-$I68 &lt;=1, 9/10, Y$24-$I68 &lt;=10,(11-(Y$24-$I68))/10, Y$24-$I68 &gt;=11, 0),
_xlfn.IFS(Y$24-$I68 &lt;=1, 5/6, Y$24-$I68 &lt;=5, (7-(Y$24-$I68))/6, AND(Y$24-$I68 =6,NOT(_xlfn.IFNA(ISNUMBER(SEARCH("Rending",$L68)),FALSE))), (7-(Y$24-$I68))/6, AND(Y$24-$I68 &gt;=7,NOT(_xlfn.IFNA(ISNUMBER(SEARCH("Rending",$L68)),FALSE))), 0, Y$24-$I68 =7, (7-(Y$24-1-$I68))/6, Y$24-$I68 =8, (7-(Y$24-2-$I68))/6*2/3, Y$24-$I68 =9, (7-(Y$24-3-$I68))/6*1/3, TRUE, 0)) *
IF(ISNUMBER(SEARCH("Ordinance",$L68)),7/6,1) *
IF(OR(ISNUMBER(SEARCH("Melee",$L68)),ISNUMBER(SEARCH("Bypass",$L68))),1.5,1)</f>
        <v>0.55555555555555547</v>
      </c>
      <c r="Z68" s="17" cm="1">
        <f t="array" ref="Z68">$H68 *
IF(ISNUMBER(SEARCH("Rapid",$L68)),7/6,1) *
IF(OR(ISNUMBER(SEARCH("Beam",$L68)),ISNUMBER(SEARCH("Firestorm",$L68))),1, IF(ISNUMBER(SEARCH("Blast",$L68)),(4+$F68+(2-$F68)*0.5)/6*2,(4+$F68)/6)) *
IF(ISNUMBER(SEARCH("Fusion",$L68)), _xlfn.IFS(Z$24-$I68 &lt;=1, 9/10, Z$24-$I68 &lt;=10,(11-(Z$24-$I68))/10, Z$24-$I68 &gt;=11, 0),
_xlfn.IFS(Z$24-$I68 &lt;=1, 5/6, Z$24-$I68 &lt;=5, (7-(Z$24-$I68))/6, AND(Z$24-$I68 =6,NOT(_xlfn.IFNA(ISNUMBER(SEARCH("Rending",$L68)),FALSE))), (7-(Z$24-$I68))/6, AND(Z$24-$I68 &gt;=7,NOT(_xlfn.IFNA(ISNUMBER(SEARCH("Rending",$L68)),FALSE))), 0, Z$24-$I68 =7, (7-(Z$24-1-$I68))/6, Z$24-$I68 =8, (7-(Z$24-2-$I68))/6*2/3, Z$24-$I68 =9, (7-(Z$24-3-$I68))/6*1/3, TRUE, 0)) *
IF(ISNUMBER(SEARCH("Ordinance",$L68)),7/6,1) *
IF(OR(ISNUMBER(SEARCH("Melee",$L68)),ISNUMBER(SEARCH("Bypass",$L68))),1.5,1)</f>
        <v>0</v>
      </c>
      <c r="AA68" s="17" cm="1">
        <f t="array" ref="AA68">$H68 *
IF(ISNUMBER(SEARCH("Rapid",$L68)),7/6,1) *
IF(OR(ISNUMBER(SEARCH("Beam",$L68)),ISNUMBER(SEARCH("Firestorm",$L68))),1, IF(ISNUMBER(SEARCH("Blast",$L68)),(4+$F68+(2-$F68)*0.5)/6*2,(4+$F68)/6)) *
IF(ISNUMBER(SEARCH("Fusion",$L68)), _xlfn.IFS(AA$24-$I68 &lt;=1, 9/10, AA$24-$I68 &lt;=10,(11-(AA$24-$I68))/10, AA$24-$I68 &gt;=11, 0),
_xlfn.IFS(AA$24-$I68 &lt;=1, 5/6, AA$24-$I68 &lt;=5, (7-(AA$24-$I68))/6, AND(AA$24-$I68 =6,NOT(_xlfn.IFNA(ISNUMBER(SEARCH("Rending",$L68)),FALSE))), (7-(AA$24-$I68))/6, AND(AA$24-$I68 &gt;=7,NOT(_xlfn.IFNA(ISNUMBER(SEARCH("Rending",$L68)),FALSE))), 0, AA$24-$I68 =7, (7-(AA$24-1-$I68))/6, AA$24-$I68 =8, (7-(AA$24-2-$I68))/6*2/3, AA$24-$I68 =9, (7-(AA$24-3-$I68))/6*1/3, TRUE, 0)) *
IF(ISNUMBER(SEARCH("Ordinance",$L68)),7/6,1) *
IF(OR(ISNUMBER(SEARCH("Melee",$L68)),ISNUMBER(SEARCH("Bypass",$L68))),1.5,1)</f>
        <v>0</v>
      </c>
      <c r="AB68" s="17" cm="1">
        <f t="array" ref="AB68">$H68 *
IF(ISNUMBER(SEARCH("Rapid",$L68)),7/6,1) *
IF(OR(ISNUMBER(SEARCH("Beam",$L68)),ISNUMBER(SEARCH("Firestorm",$L68))),1, IF(ISNUMBER(SEARCH("Blast",$L68)),(4+$F68+(2-$F68)*0.5)/6*2,(4+$F68)/6)) *
IF(ISNUMBER(SEARCH("Fusion",$L68)), _xlfn.IFS(AB$24-$I68 &lt;=1, 9/10, AB$24-$I68 &lt;=10,(11-(AB$24-$I68))/10, AB$24-$I68 &gt;=11, 0),
_xlfn.IFS(AB$24-$I68 &lt;=1, 5/6, AB$24-$I68 &lt;=5, (7-(AB$24-$I68))/6, AND(AB$24-$I68 =6,NOT(_xlfn.IFNA(ISNUMBER(SEARCH("Rending",$L68)),FALSE))), (7-(AB$24-$I68))/6, AND(AB$24-$I68 &gt;=7,NOT(_xlfn.IFNA(ISNUMBER(SEARCH("Rending",$L68)),FALSE))), 0, AB$24-$I68 =7, (7-(AB$24-1-$I68))/6, AB$24-$I68 =8, (7-(AB$24-2-$I68))/6*2/3, AB$24-$I68 =9, (7-(AB$24-3-$I68))/6*1/3, TRUE, 0)) *
IF(ISNUMBER(SEARCH("Ordinance",$L68)),7/6,1) *
IF(OR(ISNUMBER(SEARCH("Melee",$L68)),ISNUMBER(SEARCH("Bypass",$L68))),1.5,1)</f>
        <v>0</v>
      </c>
      <c r="AC68" s="17" cm="1">
        <f t="array" ref="AC68">$H68 *
IF(ISNUMBER(SEARCH("Rapid",$L68)),7/6,1) *
IF(OR(ISNUMBER(SEARCH("Beam",$L68)),ISNUMBER(SEARCH("Firestorm",$L68))),1, IF(ISNUMBER(SEARCH("Blast",$L68)),(4+$F68+(2-$F68)*0.5)/6*2,(4+$F68)/6)) *
IF(ISNUMBER(SEARCH("Fusion",$L68)), _xlfn.IFS(AC$24-$I68 &lt;=1, 9/10, AC$24-$I68 &lt;=10,(11-(AC$24-$I68))/10, AC$24-$I68 &gt;=11, 0),
_xlfn.IFS(AC$24-$I68 &lt;=1, 5/6, AC$24-$I68 &lt;=5, (7-(AC$24-$I68))/6, AND(AC$24-$I68 =6,NOT(_xlfn.IFNA(ISNUMBER(SEARCH("Rending",$L68)),FALSE))), (7-(AC$24-$I68))/6, AND(AC$24-$I68 &gt;=7,NOT(_xlfn.IFNA(ISNUMBER(SEARCH("Rending",$L68)),FALSE))), 0, AC$24-$I68 =7, (7-(AC$24-1-$I68))/6, AC$24-$I68 =8, (7-(AC$24-2-$I68))/6*2/3, AC$24-$I68 =9, (7-(AC$24-3-$I68))/6*1/3, TRUE, 0)) *
IF(ISNUMBER(SEARCH("Ordinance",$L68)),7/6,1) *
IF(OR(ISNUMBER(SEARCH("Melee",$L68)),ISNUMBER(SEARCH("Bypass",$L68))),1.5,1)</f>
        <v>0</v>
      </c>
      <c r="AD68" s="17" cm="1">
        <f t="array" ref="AD68">$H68 *
IF(ISNUMBER(SEARCH("Rapid",$L68)),7/6,1) *
IF(OR(ISNUMBER(SEARCH("Beam",$L68)),ISNUMBER(SEARCH("Firestorm",$L68))),1, IF(ISNUMBER(SEARCH("Blast",$L68)),(4+$F68+(2-$F68)*0.5)/6*2,(4+$F68)/6)) *
IF(ISNUMBER(SEARCH("Fusion",$L68)), _xlfn.IFS(AD$24-$I68 &lt;=1, 9/10, AD$24-$I68 &lt;=10,(11-(AD$24-$I68))/10, AD$24-$I68 &gt;=11, 0),
_xlfn.IFS(AD$24-$I68 &lt;=1, 5/6, AD$24-$I68 &lt;=5, (7-(AD$24-$I68))/6, AND(AD$24-$I68 =6,NOT(_xlfn.IFNA(ISNUMBER(SEARCH("Rending",$L68)),FALSE))), (7-(AD$24-$I68))/6, AND(AD$24-$I68 &gt;=7,NOT(_xlfn.IFNA(ISNUMBER(SEARCH("Rending",$L68)),FALSE))), 0, AD$24-$I68 =7, (7-(AD$24-1-$I68))/6, AD$24-$I68 =8, (7-(AD$24-2-$I68))/6*2/3, AD$24-$I68 =9, (7-(AD$24-3-$I68))/6*1/3, TRUE, 0)) *
IF(ISNUMBER(SEARCH("Ordinance",$L68)),7/6,1) *
IF(OR(ISNUMBER(SEARCH("Melee",$L68)),ISNUMBER(SEARCH("Bypass",$L68))),1.5,1)</f>
        <v>0</v>
      </c>
      <c r="AE68" s="17" cm="1">
        <f t="array" ref="AE68">$H68 *
IF(ISNUMBER(SEARCH("Rapid",$L68)),7/6,1) *
IF(OR(ISNUMBER(SEARCH("Beam",$L68)),ISNUMBER(SEARCH("Firestorm",$L68))),1, IF(ISNUMBER(SEARCH("Blast",$L68)),(4+$F68+(2-$F68)*0.5)/6*2,(4+$F68)/6)) *
IF(ISNUMBER(SEARCH("Fusion",$L68)), _xlfn.IFS(AE$24-$I68 &lt;=1, 9/10, AE$24-$I68 &lt;=10,(11-(AE$24-$I68))/10, AE$24-$I68 &gt;=11, 0),
_xlfn.IFS(AE$24-$I68 &lt;=1, 5/6, AE$24-$I68 &lt;=5, (7-(AE$24-$I68))/6, AND(AE$24-$I68 =6,NOT(_xlfn.IFNA(ISNUMBER(SEARCH("Rending",$L68)),FALSE))), (7-(AE$24-$I68))/6, AND(AE$24-$I68 &gt;=7,NOT(_xlfn.IFNA(ISNUMBER(SEARCH("Rending",$L68)),FALSE))), 0, AE$24-$I68 =7, (7-(AE$24-1-$I68))/6, AE$24-$I68 =8, (7-(AE$24-2-$I68))/6*2/3, AE$24-$I68 =9, (7-(AE$24-3-$I68))/6*1/3, TRUE, 0)) *
IF(ISNUMBER(SEARCH("Ordinance",$L68)),7/6,1) *
IF(OR(ISNUMBER(SEARCH("Melee",$L68)),ISNUMBER(SEARCH("Bypass",$L68))),1.5,1)</f>
        <v>0</v>
      </c>
      <c r="AF68" s="17" cm="1">
        <f t="array" ref="AF68">$H68 *
IF(ISNUMBER(SEARCH("Rapid",$L68)),7/6,1) *
IF(OR(ISNUMBER(SEARCH("Beam",$L68)),ISNUMBER(SEARCH("Firestorm",$L68))),1, IF(ISNUMBER(SEARCH("Blast",$L68)),(4+$F68+(2-$F68)*0.5)/6*2,(4+$F68)/6)) *
IF(ISNUMBER(SEARCH("Fusion",$L68)), _xlfn.IFS(AF$24-$I68 &lt;=1, 9/10, AF$24-$I68 &lt;=10,(11-(AF$24-$I68))/10, AF$24-$I68 &gt;=11, 0),
_xlfn.IFS(AF$24-$I68 &lt;=1, 5/6, AF$24-$I68 &lt;=5, (7-(AF$24-$I68))/6, AND(AF$24-$I68 =6,NOT(_xlfn.IFNA(ISNUMBER(SEARCH("Rending",$L68)),FALSE))), (7-(AF$24-$I68))/6, AND(AF$24-$I68 &gt;=7,NOT(_xlfn.IFNA(ISNUMBER(SEARCH("Rending",$L68)),FALSE))), 0, AF$24-$I68 =7, (7-(AF$24-1-$I68))/6, AF$24-$I68 =8, (7-(AF$24-2-$I68))/6*2/3, AF$24-$I68 =9, (7-(AF$24-3-$I68))/6*1/3, TRUE, 0)) *
IF(ISNUMBER(SEARCH("Ordinance",$L68)),7/6,1) *
IF(OR(ISNUMBER(SEARCH("Melee",$L68)),ISNUMBER(SEARCH("Bypass",$L68))),1.5,1)</f>
        <v>0</v>
      </c>
      <c r="AG68" s="16">
        <f t="shared" si="22"/>
        <v>2.0188888888888887</v>
      </c>
      <c r="AH68" s="16">
        <f t="shared" si="23"/>
        <v>3.0283333333333333</v>
      </c>
      <c r="AI68" s="17" cm="1">
        <f t="array" ref="AI68">$H68 *
IF(ISNUMBER(SEARCH("Rapid",$L68)),7/6,1) *
IF(OR(ISNUMBER(SEARCH("Beam",$L68)),ISNUMBER(SEARCH("Firestorm",$L68))),1, IF(ISNUMBER(SEARCH("Blast",$L68)),(4+$G68+(2-$G68)*0.5)/6*2,(4+$G68)/6)) *
_xlfn.IFS(AI$24-$I68 &lt;=1, 5/6, AI$24-$I68 &lt;=5, (7-(AI$24-$I68))/6, AND(AI$24-$I68 =6,NOT(_xlfn.IFNA(ISNUMBER(SEARCH("Rending",$L68)),FALSE))), (7-(AI$24-$I68))/6, AND(AI$24-$I68 &gt;=7,NOT(_xlfn.IFNA(ISNUMBER(SEARCH("Rending",$L68)),FALSE))), 0, AI$24-$I68 =7, (7-(AI$24-1-$I68))/6, AI$24-$I68 =8, (7-(AI$24-2-$I68))/6*2/3, AI$24-$I68 =9, (7-(AI$24-3-$I68))/6*1/3, TRUE, 0) *
IF(ISNUMBER(SEARCH("Ordinance",$L68)),7/6,1) *
IF(OR(ISNUMBER(SEARCH("Melee",$L68)),ISNUMBER(SEARCH("Bypass",$L68))),1.5,1)</f>
        <v>1.3888888888888888</v>
      </c>
      <c r="AJ68" s="17" cm="1">
        <f t="array" ref="AJ68">$H68 *
IF(ISNUMBER(SEARCH("Rapid",$L68)),7/6,1) *
IF(OR(ISNUMBER(SEARCH("Beam",$L68)),ISNUMBER(SEARCH("Firestorm",$L68))),1, IF(ISNUMBER(SEARCH("Blast",$L68)),(4+$G68+(2-$G68)*0.5)/6*2,(4+$G68)/6)) *
_xlfn.IFS(AJ$24-$I68 &lt;=1, 5/6, AJ$24-$I68 &lt;=5, (7-(AJ$24-$I68))/6, AND(AJ$24-$I68 =6,NOT(_xlfn.IFNA(ISNUMBER(SEARCH("Rending",$L68)),FALSE))), (7-(AJ$24-$I68))/6, AND(AJ$24-$I68 &gt;=7,NOT(_xlfn.IFNA(ISNUMBER(SEARCH("Rending",$L68)),FALSE))), 0, AJ$24-$I68 =7, (7-(AJ$24-1-$I68))/6, AJ$24-$I68 =8, (7-(AJ$24-2-$I68))/6*2/3, AJ$24-$I68 =9, (7-(AJ$24-3-$I68))/6*1/3, TRUE, 0) *
IF(ISNUMBER(SEARCH("Ordinance",$L68)),7/6,1) *
IF(OR(ISNUMBER(SEARCH("Melee",$L68)),ISNUMBER(SEARCH("Bypass",$L68))),1.5,1)</f>
        <v>0.69444444444444442</v>
      </c>
      <c r="AK68" s="17" cm="1">
        <f t="array" ref="AK68">$H68 *
IF(ISNUMBER(SEARCH("Rapid",$L68)),7/6,1) *
IF(OR(ISNUMBER(SEARCH("Beam",$L68)),ISNUMBER(SEARCH("Firestorm",$L68))),1, IF(ISNUMBER(SEARCH("Blast",$L68)),(4+$G68+(2-$G68)*0.5)/6*2,(4+$G68)/6)) *
_xlfn.IFS(AK$24-$I68 &lt;=1, 5/6, AK$24-$I68 &lt;=5, (7-(AK$24-$I68))/6, AND(AK$24-$I68 =6,NOT(_xlfn.IFNA(ISNUMBER(SEARCH("Rending",$L68)),FALSE))), (7-(AK$24-$I68))/6, AND(AK$24-$I68 &gt;=7,NOT(_xlfn.IFNA(ISNUMBER(SEARCH("Rending",$L68)),FALSE))), 0, AK$24-$I68 =7, (7-(AK$24-1-$I68))/6, AK$24-$I68 =8, (7-(AK$24-2-$I68))/6*2/3, AK$24-$I68 =9, (7-(AK$24-3-$I68))/6*1/3, TRUE, 0) *
IF(ISNUMBER(SEARCH("Ordinance",$L68)),7/6,1) *
IF(OR(ISNUMBER(SEARCH("Melee",$L68)),ISNUMBER(SEARCH("Bypass",$L68))),1.5,1)</f>
        <v>0</v>
      </c>
      <c r="AL68" s="17" cm="1">
        <f t="array" ref="AL68">$H68 *
IF(ISNUMBER(SEARCH("Rapid",$L68)),7/6,1) *
IF(OR(ISNUMBER(SEARCH("Beam",$L68)),ISNUMBER(SEARCH("Firestorm",$L68))),1, IF(ISNUMBER(SEARCH("Blast",$L68)),(4+$G68+(2-$G68)*0.5)/6*2,(4+$G68)/6)) *
_xlfn.IFS(AL$24-$I68 &lt;=1, 5/6, AL$24-$I68 &lt;=5, (7-(AL$24-$I68))/6, AND(AL$24-$I68 =6,NOT(_xlfn.IFNA(ISNUMBER(SEARCH("Rending",$L68)),FALSE))), (7-(AL$24-$I68))/6, AND(AL$24-$I68 &gt;=7,NOT(_xlfn.IFNA(ISNUMBER(SEARCH("Rending",$L68)),FALSE))), 0, AL$24-$I68 =7, (7-(AL$24-1-$I68))/6, AL$24-$I68 =8, (7-(AL$24-2-$I68))/6*2/3, AL$24-$I68 =9, (7-(AL$24-3-$I68))/6*1/3, TRUE, 0) *
IF(ISNUMBER(SEARCH("Ordinance",$L68)),7/6,1) *
IF(OR(ISNUMBER(SEARCH("Melee",$L68)),ISNUMBER(SEARCH("Bypass",$L68))),1.5,1)</f>
        <v>0</v>
      </c>
      <c r="AM68" s="17" cm="1">
        <f t="array" ref="AM68">$H68 *
IF(ISNUMBER(SEARCH("Rapid",$L68)),7/6,1) *
IF(OR(ISNUMBER(SEARCH("Beam",$L68)),ISNUMBER(SEARCH("Firestorm",$L68))),1, IF(ISNUMBER(SEARCH("Blast",$L68)),(4+$G68+(2-$G68)*0.5)/6*2,(4+$G68)/6)) *
_xlfn.IFS(AM$24-$I68 &lt;=1, 5/6, AM$24-$I68 &lt;=5, (7-(AM$24-$I68))/6, AND(AM$24-$I68 =6,NOT(_xlfn.IFNA(ISNUMBER(SEARCH("Rending",$L68)),FALSE))), (7-(AM$24-$I68))/6, AND(AM$24-$I68 &gt;=7,NOT(_xlfn.IFNA(ISNUMBER(SEARCH("Rending",$L68)),FALSE))), 0, AM$24-$I68 =7, (7-(AM$24-1-$I68))/6, AM$24-$I68 =8, (7-(AM$24-2-$I68))/6*2/3, AM$24-$I68 =9, (7-(AM$24-3-$I68))/6*1/3, TRUE, 0) *
IF(ISNUMBER(SEARCH("Ordinance",$L68)),7/6,1) *
IF(OR(ISNUMBER(SEARCH("Melee",$L68)),ISNUMBER(SEARCH("Bypass",$L68))),1.5,1)</f>
        <v>0</v>
      </c>
      <c r="AN68" s="17" cm="1">
        <f t="array" ref="AN68">$H68 *
IF(ISNUMBER(SEARCH("Rapid",$L68)),7/6,1) *
IF(OR(ISNUMBER(SEARCH("Beam",$L68)),ISNUMBER(SEARCH("Firestorm",$L68))),1, IF(ISNUMBER(SEARCH("Blast",$L68)),(4+$G68+(2-$G68)*0.5)/6*2,(4+$G68)/6)) *
_xlfn.IFS(AN$24-$I68 &lt;=1, 5/6, AN$24-$I68 &lt;=5, (7-(AN$24-$I68))/6, AND(AN$24-$I68 =6,NOT(_xlfn.IFNA(ISNUMBER(SEARCH("Rending",$L68)),FALSE))), (7-(AN$24-$I68))/6, AND(AN$24-$I68 &gt;=7,NOT(_xlfn.IFNA(ISNUMBER(SEARCH("Rending",$L68)),FALSE))), 0, AN$24-$I68 =7, (7-(AN$24-1-$I68))/6, AN$24-$I68 =8, (7-(AN$24-2-$I68))/6*2/3, AN$24-$I68 =9, (7-(AN$24-3-$I68))/6*1/3, TRUE, 0) *
IF(ISNUMBER(SEARCH("Ordinance",$L68)),7/6,1) *
IF(OR(ISNUMBER(SEARCH("Melee",$L68)),ISNUMBER(SEARCH("Bypass",$L68))),1.5,1)</f>
        <v>0</v>
      </c>
      <c r="AO68" s="17" cm="1">
        <f t="array" ref="AO68">$H68 *
IF(ISNUMBER(SEARCH("Rapid",$L68)),7/6,1) *
IF(OR(ISNUMBER(SEARCH("Beam",$L68)),ISNUMBER(SEARCH("Firestorm",$L68))),1, IF(ISNUMBER(SEARCH("Blast",$L68)),(4+$G68+(2-$G68)*0.5)/6*2,(4+$G68)/6)) *
_xlfn.IFS(AO$24-$I68 &lt;=1, 5/6, AO$24-$I68 &lt;=5, (7-(AO$24-$I68))/6, AND(AO$24-$I68 =6,NOT(_xlfn.IFNA(ISNUMBER(SEARCH("Rending",$L68)),FALSE))), (7-(AO$24-$I68))/6, AND(AO$24-$I68 &gt;=7,NOT(_xlfn.IFNA(ISNUMBER(SEARCH("Rending",$L68)),FALSE))), 0, AO$24-$I68 =7, (7-(AO$24-1-$I68))/6, AO$24-$I68 =8, (7-(AO$24-2-$I68))/6*2/3, AO$24-$I68 =9, (7-(AO$24-3-$I68))/6*1/3, TRUE, 0) *
IF(ISNUMBER(SEARCH("Ordinance",$L68)),7/6,1) *
IF(OR(ISNUMBER(SEARCH("Melee",$L68)),ISNUMBER(SEARCH("Bypass",$L68))),1.5,1)</f>
        <v>0</v>
      </c>
      <c r="AP68" s="17" cm="1">
        <f t="array" ref="AP68">$H68 *
IF(ISNUMBER(SEARCH("Rapid",$L68)),7/6,1) *
IF(OR(ISNUMBER(SEARCH("Beam",$L68)),ISNUMBER(SEARCH("Firestorm",$L68))),1, IF(ISNUMBER(SEARCH("Blast",$L68)),(4+$G68+(2-$G68)*0.5)/6*2,(4+$G68)/6)) *
_xlfn.IFS(AP$24-$I68 &lt;=1, 5/6, AP$24-$I68 &lt;=5, (7-(AP$24-$I68))/6, AND(AP$24-$I68 =6,NOT(_xlfn.IFNA(ISNUMBER(SEARCH("Rending",$L68)),FALSE))), (7-(AP$24-$I68))/6, AND(AP$24-$I68 &gt;=7,NOT(_xlfn.IFNA(ISNUMBER(SEARCH("Rending",$L68)),FALSE))), 0, AP$24-$I68 =7, (7-(AP$24-1-$I68))/6, AP$24-$I68 =8, (7-(AP$24-2-$I68))/6*2/3, AP$24-$I68 =9, (7-(AP$24-3-$I68))/6*1/3, TRUE, 0) *
IF(ISNUMBER(SEARCH("Ordinance",$L68)),7/6,1) *
IF(OR(ISNUMBER(SEARCH("Melee",$L68)),ISNUMBER(SEARCH("Bypass",$L68))),1.5,1)</f>
        <v>0</v>
      </c>
      <c r="AQ68" s="17" cm="1">
        <f t="array" ref="AQ68">$H68 *
IF(ISNUMBER(SEARCH("Rapid",$L68)),7/6,1) *
IF(OR(ISNUMBER(SEARCH("Beam",$L68)),ISNUMBER(SEARCH("Firestorm",$L68))),1, IF(ISNUMBER(SEARCH("Blast",$L68)),(4+$G68+(2-$G68)*0.5)/6*2,(4+$G68)/6)) *
_xlfn.IFS(AQ$24-$I68 &lt;=1, 5/6, AQ$24-$I68 &lt;=5, (7-(AQ$24-$I68))/6, AND(AQ$24-$I68 =6,NOT(_xlfn.IFNA(ISNUMBER(SEARCH("Rending",$L68)),FALSE))), (7-(AQ$24-$I68))/6, AND(AQ$24-$I68 &gt;=7,NOT(_xlfn.IFNA(ISNUMBER(SEARCH("Rending",$L68)),FALSE))), 0, AQ$24-$I68 =7, (7-(AQ$24-1-$I68))/6, AQ$24-$I68 =8, (7-(AQ$24-2-$I68))/6*2/3, AQ$24-$I68 =9, (7-(AQ$24-3-$I68))/6*1/3, TRUE, 0) *
IF(ISNUMBER(SEARCH("Ordinance",$L68)),7/6,1) *
IF(OR(ISNUMBER(SEARCH("Melee",$L68)),ISNUMBER(SEARCH("Bypass",$L68))),1.5,1)</f>
        <v>0</v>
      </c>
      <c r="AS68" s="16">
        <f t="shared" si="11"/>
        <v>1.3459259259259257</v>
      </c>
      <c r="AT68" s="16">
        <f t="shared" si="12"/>
        <v>2.0188888888888887</v>
      </c>
      <c r="AU68" s="16">
        <f t="shared" si="9"/>
        <v>1.0925925925925926</v>
      </c>
      <c r="AV68" s="2">
        <v>9</v>
      </c>
    </row>
    <row r="69" spans="1:48" x14ac:dyDescent="0.3">
      <c r="A69" t="s">
        <v>270</v>
      </c>
      <c r="B69" s="3">
        <v>30</v>
      </c>
      <c r="C69" s="3">
        <v>120</v>
      </c>
      <c r="D69" s="3">
        <v>1</v>
      </c>
      <c r="E69" s="3">
        <v>2</v>
      </c>
      <c r="F69" s="10"/>
      <c r="G69" s="10">
        <v>1</v>
      </c>
      <c r="H69" s="3">
        <v>2</v>
      </c>
      <c r="I69" s="3">
        <v>4</v>
      </c>
      <c r="J69" s="3" t="s">
        <v>215</v>
      </c>
      <c r="K69" s="3">
        <v>25</v>
      </c>
      <c r="L69" s="3" t="s">
        <v>272</v>
      </c>
      <c r="M69" s="3" t="s">
        <v>225</v>
      </c>
      <c r="N69" s="3">
        <v>10</v>
      </c>
      <c r="O69" s="3">
        <v>10</v>
      </c>
      <c r="P69" s="3">
        <v>14</v>
      </c>
      <c r="Q69" s="3" t="s">
        <v>200</v>
      </c>
      <c r="R69" s="3">
        <v>7</v>
      </c>
      <c r="S69" s="3">
        <v>9</v>
      </c>
      <c r="T69" s="3">
        <v>4</v>
      </c>
      <c r="U69" t="s">
        <v>271</v>
      </c>
      <c r="V69" s="16">
        <f t="shared" si="20"/>
        <v>0.44444444444444442</v>
      </c>
      <c r="W69" s="16">
        <f t="shared" si="21"/>
        <v>0.66666666666666663</v>
      </c>
      <c r="X69" s="17" cm="1">
        <f t="array" ref="X69">$H69 *
IF(ISNUMBER(SEARCH("Rapid",$L69)),7/6,1) *
IF(OR(ISNUMBER(SEARCH("Beam",$L69)),ISNUMBER(SEARCH("Firestorm",$L69))),1, IF(ISNUMBER(SEARCH("Blast",$L69)),(4+$F69+(2-$F69)*0.5)/6*2,(4+$F69)/6)) *
IF(ISNUMBER(SEARCH("Fusion",$L69)), _xlfn.IFS(X$24-$I69 &lt;=1, 9/10, X$24-$I69 &lt;=10,(11-(X$24-$I69))/10, X$24-$I69 &gt;=11, 0),
_xlfn.IFS(X$24-$I69 &lt;=1, 5/6, X$24-$I69 &lt;=5, (7-(X$24-$I69))/6, AND(X$24-$I69 =6,NOT(_xlfn.IFNA(ISNUMBER(SEARCH("Rending",$L69)),FALSE))), (7-(X$24-$I69))/6, AND(X$24-$I69 &gt;=7,NOT(_xlfn.IFNA(ISNUMBER(SEARCH("Rending",$L69)),FALSE))), 0, X$24-$I69 =7, (7-(X$24-1-$I69))/6, X$24-$I69 =8, (7-(X$24-2-$I69))/6*2/3, X$24-$I69 =9, (7-(X$24-3-$I69))/6*1/3, TRUE, 0)) *
IF(ISNUMBER(SEARCH("Ordinance",$L69)),7/6,1) *
IF(OR(ISNUMBER(SEARCH("Melee",$L69)),ISNUMBER(SEARCH("Bypass",$L69))),1.5,1)</f>
        <v>0.44444444444444442</v>
      </c>
      <c r="Y69" s="17" cm="1">
        <f t="array" ref="Y69">$H69 *
IF(ISNUMBER(SEARCH("Rapid",$L69)),7/6,1) *
IF(OR(ISNUMBER(SEARCH("Beam",$L69)),ISNUMBER(SEARCH("Firestorm",$L69))),1, IF(ISNUMBER(SEARCH("Blast",$L69)),(4+$F69+(2-$F69)*0.5)/6*2,(4+$F69)/6)) *
IF(ISNUMBER(SEARCH("Fusion",$L69)), _xlfn.IFS(Y$24-$I69 &lt;=1, 9/10, Y$24-$I69 &lt;=10,(11-(Y$24-$I69))/10, Y$24-$I69 &gt;=11, 0),
_xlfn.IFS(Y$24-$I69 &lt;=1, 5/6, Y$24-$I69 &lt;=5, (7-(Y$24-$I69))/6, AND(Y$24-$I69 =6,NOT(_xlfn.IFNA(ISNUMBER(SEARCH("Rending",$L69)),FALSE))), (7-(Y$24-$I69))/6, AND(Y$24-$I69 &gt;=7,NOT(_xlfn.IFNA(ISNUMBER(SEARCH("Rending",$L69)),FALSE))), 0, Y$24-$I69 =7, (7-(Y$24-1-$I69))/6, Y$24-$I69 =8, (7-(Y$24-2-$I69))/6*2/3, Y$24-$I69 =9, (7-(Y$24-3-$I69))/6*1/3, TRUE, 0)) *
IF(ISNUMBER(SEARCH("Ordinance",$L69)),7/6,1) *
IF(OR(ISNUMBER(SEARCH("Melee",$L69)),ISNUMBER(SEARCH("Bypass",$L69))),1.5,1)</f>
        <v>0.22222222222222221</v>
      </c>
      <c r="Z69" s="17" cm="1">
        <f t="array" ref="Z69">$H69 *
IF(ISNUMBER(SEARCH("Rapid",$L69)),7/6,1) *
IF(OR(ISNUMBER(SEARCH("Beam",$L69)),ISNUMBER(SEARCH("Firestorm",$L69))),1, IF(ISNUMBER(SEARCH("Blast",$L69)),(4+$F69+(2-$F69)*0.5)/6*2,(4+$F69)/6)) *
IF(ISNUMBER(SEARCH("Fusion",$L69)), _xlfn.IFS(Z$24-$I69 &lt;=1, 9/10, Z$24-$I69 &lt;=10,(11-(Z$24-$I69))/10, Z$24-$I69 &gt;=11, 0),
_xlfn.IFS(Z$24-$I69 &lt;=1, 5/6, Z$24-$I69 &lt;=5, (7-(Z$24-$I69))/6, AND(Z$24-$I69 =6,NOT(_xlfn.IFNA(ISNUMBER(SEARCH("Rending",$L69)),FALSE))), (7-(Z$24-$I69))/6, AND(Z$24-$I69 &gt;=7,NOT(_xlfn.IFNA(ISNUMBER(SEARCH("Rending",$L69)),FALSE))), 0, Z$24-$I69 =7, (7-(Z$24-1-$I69))/6, Z$24-$I69 =8, (7-(Z$24-2-$I69))/6*2/3, Z$24-$I69 =9, (7-(Z$24-3-$I69))/6*1/3, TRUE, 0)) *
IF(ISNUMBER(SEARCH("Ordinance",$L69)),7/6,1) *
IF(OR(ISNUMBER(SEARCH("Melee",$L69)),ISNUMBER(SEARCH("Bypass",$L69))),1.5,1)</f>
        <v>0</v>
      </c>
      <c r="AA69" s="17" cm="1">
        <f t="array" ref="AA69">$H69 *
IF(ISNUMBER(SEARCH("Rapid",$L69)),7/6,1) *
IF(OR(ISNUMBER(SEARCH("Beam",$L69)),ISNUMBER(SEARCH("Firestorm",$L69))),1, IF(ISNUMBER(SEARCH("Blast",$L69)),(4+$F69+(2-$F69)*0.5)/6*2,(4+$F69)/6)) *
IF(ISNUMBER(SEARCH("Fusion",$L69)), _xlfn.IFS(AA$24-$I69 &lt;=1, 9/10, AA$24-$I69 &lt;=10,(11-(AA$24-$I69))/10, AA$24-$I69 &gt;=11, 0),
_xlfn.IFS(AA$24-$I69 &lt;=1, 5/6, AA$24-$I69 &lt;=5, (7-(AA$24-$I69))/6, AND(AA$24-$I69 =6,NOT(_xlfn.IFNA(ISNUMBER(SEARCH("Rending",$L69)),FALSE))), (7-(AA$24-$I69))/6, AND(AA$24-$I69 &gt;=7,NOT(_xlfn.IFNA(ISNUMBER(SEARCH("Rending",$L69)),FALSE))), 0, AA$24-$I69 =7, (7-(AA$24-1-$I69))/6, AA$24-$I69 =8, (7-(AA$24-2-$I69))/6*2/3, AA$24-$I69 =9, (7-(AA$24-3-$I69))/6*1/3, TRUE, 0)) *
IF(ISNUMBER(SEARCH("Ordinance",$L69)),7/6,1) *
IF(OR(ISNUMBER(SEARCH("Melee",$L69)),ISNUMBER(SEARCH("Bypass",$L69))),1.5,1)</f>
        <v>0</v>
      </c>
      <c r="AB69" s="17" cm="1">
        <f t="array" ref="AB69">$H69 *
IF(ISNUMBER(SEARCH("Rapid",$L69)),7/6,1) *
IF(OR(ISNUMBER(SEARCH("Beam",$L69)),ISNUMBER(SEARCH("Firestorm",$L69))),1, IF(ISNUMBER(SEARCH("Blast",$L69)),(4+$F69+(2-$F69)*0.5)/6*2,(4+$F69)/6)) *
IF(ISNUMBER(SEARCH("Fusion",$L69)), _xlfn.IFS(AB$24-$I69 &lt;=1, 9/10, AB$24-$I69 &lt;=10,(11-(AB$24-$I69))/10, AB$24-$I69 &gt;=11, 0),
_xlfn.IFS(AB$24-$I69 &lt;=1, 5/6, AB$24-$I69 &lt;=5, (7-(AB$24-$I69))/6, AND(AB$24-$I69 =6,NOT(_xlfn.IFNA(ISNUMBER(SEARCH("Rending",$L69)),FALSE))), (7-(AB$24-$I69))/6, AND(AB$24-$I69 &gt;=7,NOT(_xlfn.IFNA(ISNUMBER(SEARCH("Rending",$L69)),FALSE))), 0, AB$24-$I69 =7, (7-(AB$24-1-$I69))/6, AB$24-$I69 =8, (7-(AB$24-2-$I69))/6*2/3, AB$24-$I69 =9, (7-(AB$24-3-$I69))/6*1/3, TRUE, 0)) *
IF(ISNUMBER(SEARCH("Ordinance",$L69)),7/6,1) *
IF(OR(ISNUMBER(SEARCH("Melee",$L69)),ISNUMBER(SEARCH("Bypass",$L69))),1.5,1)</f>
        <v>0</v>
      </c>
      <c r="AC69" s="17" cm="1">
        <f t="array" ref="AC69">$H69 *
IF(ISNUMBER(SEARCH("Rapid",$L69)),7/6,1) *
IF(OR(ISNUMBER(SEARCH("Beam",$L69)),ISNUMBER(SEARCH("Firestorm",$L69))),1, IF(ISNUMBER(SEARCH("Blast",$L69)),(4+$F69+(2-$F69)*0.5)/6*2,(4+$F69)/6)) *
IF(ISNUMBER(SEARCH("Fusion",$L69)), _xlfn.IFS(AC$24-$I69 &lt;=1, 9/10, AC$24-$I69 &lt;=10,(11-(AC$24-$I69))/10, AC$24-$I69 &gt;=11, 0),
_xlfn.IFS(AC$24-$I69 &lt;=1, 5/6, AC$24-$I69 &lt;=5, (7-(AC$24-$I69))/6, AND(AC$24-$I69 =6,NOT(_xlfn.IFNA(ISNUMBER(SEARCH("Rending",$L69)),FALSE))), (7-(AC$24-$I69))/6, AND(AC$24-$I69 &gt;=7,NOT(_xlfn.IFNA(ISNUMBER(SEARCH("Rending",$L69)),FALSE))), 0, AC$24-$I69 =7, (7-(AC$24-1-$I69))/6, AC$24-$I69 =8, (7-(AC$24-2-$I69))/6*2/3, AC$24-$I69 =9, (7-(AC$24-3-$I69))/6*1/3, TRUE, 0)) *
IF(ISNUMBER(SEARCH("Ordinance",$L69)),7/6,1) *
IF(OR(ISNUMBER(SEARCH("Melee",$L69)),ISNUMBER(SEARCH("Bypass",$L69))),1.5,1)</f>
        <v>0</v>
      </c>
      <c r="AD69" s="17" cm="1">
        <f t="array" ref="AD69">$H69 *
IF(ISNUMBER(SEARCH("Rapid",$L69)),7/6,1) *
IF(OR(ISNUMBER(SEARCH("Beam",$L69)),ISNUMBER(SEARCH("Firestorm",$L69))),1, IF(ISNUMBER(SEARCH("Blast",$L69)),(4+$F69+(2-$F69)*0.5)/6*2,(4+$F69)/6)) *
IF(ISNUMBER(SEARCH("Fusion",$L69)), _xlfn.IFS(AD$24-$I69 &lt;=1, 9/10, AD$24-$I69 &lt;=10,(11-(AD$24-$I69))/10, AD$24-$I69 &gt;=11, 0),
_xlfn.IFS(AD$24-$I69 &lt;=1, 5/6, AD$24-$I69 &lt;=5, (7-(AD$24-$I69))/6, AND(AD$24-$I69 =6,NOT(_xlfn.IFNA(ISNUMBER(SEARCH("Rending",$L69)),FALSE))), (7-(AD$24-$I69))/6, AND(AD$24-$I69 &gt;=7,NOT(_xlfn.IFNA(ISNUMBER(SEARCH("Rending",$L69)),FALSE))), 0, AD$24-$I69 =7, (7-(AD$24-1-$I69))/6, AD$24-$I69 =8, (7-(AD$24-2-$I69))/6*2/3, AD$24-$I69 =9, (7-(AD$24-3-$I69))/6*1/3, TRUE, 0)) *
IF(ISNUMBER(SEARCH("Ordinance",$L69)),7/6,1) *
IF(OR(ISNUMBER(SEARCH("Melee",$L69)),ISNUMBER(SEARCH("Bypass",$L69))),1.5,1)</f>
        <v>0</v>
      </c>
      <c r="AE69" s="17" cm="1">
        <f t="array" ref="AE69">$H69 *
IF(ISNUMBER(SEARCH("Rapid",$L69)),7/6,1) *
IF(OR(ISNUMBER(SEARCH("Beam",$L69)),ISNUMBER(SEARCH("Firestorm",$L69))),1, IF(ISNUMBER(SEARCH("Blast",$L69)),(4+$F69+(2-$F69)*0.5)/6*2,(4+$F69)/6)) *
IF(ISNUMBER(SEARCH("Fusion",$L69)), _xlfn.IFS(AE$24-$I69 &lt;=1, 9/10, AE$24-$I69 &lt;=10,(11-(AE$24-$I69))/10, AE$24-$I69 &gt;=11, 0),
_xlfn.IFS(AE$24-$I69 &lt;=1, 5/6, AE$24-$I69 &lt;=5, (7-(AE$24-$I69))/6, AND(AE$24-$I69 =6,NOT(_xlfn.IFNA(ISNUMBER(SEARCH("Rending",$L69)),FALSE))), (7-(AE$24-$I69))/6, AND(AE$24-$I69 &gt;=7,NOT(_xlfn.IFNA(ISNUMBER(SEARCH("Rending",$L69)),FALSE))), 0, AE$24-$I69 =7, (7-(AE$24-1-$I69))/6, AE$24-$I69 =8, (7-(AE$24-2-$I69))/6*2/3, AE$24-$I69 =9, (7-(AE$24-3-$I69))/6*1/3, TRUE, 0)) *
IF(ISNUMBER(SEARCH("Ordinance",$L69)),7/6,1) *
IF(OR(ISNUMBER(SEARCH("Melee",$L69)),ISNUMBER(SEARCH("Bypass",$L69))),1.5,1)</f>
        <v>0</v>
      </c>
      <c r="AF69" s="17" cm="1">
        <f t="array" ref="AF69">$H69 *
IF(ISNUMBER(SEARCH("Rapid",$L69)),7/6,1) *
IF(OR(ISNUMBER(SEARCH("Beam",$L69)),ISNUMBER(SEARCH("Firestorm",$L69))),1, IF(ISNUMBER(SEARCH("Blast",$L69)),(4+$F69+(2-$F69)*0.5)/6*2,(4+$F69)/6)) *
IF(ISNUMBER(SEARCH("Fusion",$L69)), _xlfn.IFS(AF$24-$I69 &lt;=1, 9/10, AF$24-$I69 &lt;=10,(11-(AF$24-$I69))/10, AF$24-$I69 &gt;=11, 0),
_xlfn.IFS(AF$24-$I69 &lt;=1, 5/6, AF$24-$I69 &lt;=5, (7-(AF$24-$I69))/6, AND(AF$24-$I69 =6,NOT(_xlfn.IFNA(ISNUMBER(SEARCH("Rending",$L69)),FALSE))), (7-(AF$24-$I69))/6, AND(AF$24-$I69 &gt;=7,NOT(_xlfn.IFNA(ISNUMBER(SEARCH("Rending",$L69)),FALSE))), 0, AF$24-$I69 =7, (7-(AF$24-1-$I69))/6, AF$24-$I69 =8, (7-(AF$24-2-$I69))/6*2/3, AF$24-$I69 =9, (7-(AF$24-3-$I69))/6*1/3, TRUE, 0)) *
IF(ISNUMBER(SEARCH("Ordinance",$L69)),7/6,1) *
IF(OR(ISNUMBER(SEARCH("Melee",$L69)),ISNUMBER(SEARCH("Bypass",$L69))),1.5,1)</f>
        <v>0</v>
      </c>
      <c r="AG69" s="16">
        <f t="shared" si="22"/>
        <v>0.55555555555555558</v>
      </c>
      <c r="AH69" s="16">
        <f t="shared" si="23"/>
        <v>0.83333333333333337</v>
      </c>
      <c r="AI69" s="17" cm="1">
        <f t="array" ref="AI69">$H69 *
IF(ISNUMBER(SEARCH("Rapid",$L69)),7/6,1) *
IF(OR(ISNUMBER(SEARCH("Beam",$L69)),ISNUMBER(SEARCH("Firestorm",$L69))),1, IF(ISNUMBER(SEARCH("Blast",$L69)),(4+$G69+(2-$G69)*0.5)/6*2,(4+$G69)/6)) *
_xlfn.IFS(AI$24-$I69 &lt;=1, 5/6, AI$24-$I69 &lt;=5, (7-(AI$24-$I69))/6, AND(AI$24-$I69 =6,NOT(_xlfn.IFNA(ISNUMBER(SEARCH("Rending",$L69)),FALSE))), (7-(AI$24-$I69))/6, AND(AI$24-$I69 &gt;=7,NOT(_xlfn.IFNA(ISNUMBER(SEARCH("Rending",$L69)),FALSE))), 0, AI$24-$I69 =7, (7-(AI$24-1-$I69))/6, AI$24-$I69 =8, (7-(AI$24-2-$I69))/6*2/3, AI$24-$I69 =9, (7-(AI$24-3-$I69))/6*1/3, TRUE, 0) *
IF(ISNUMBER(SEARCH("Ordinance",$L69)),7/6,1) *
IF(OR(ISNUMBER(SEARCH("Melee",$L69)),ISNUMBER(SEARCH("Bypass",$L69))),1.5,1)</f>
        <v>0.55555555555555558</v>
      </c>
      <c r="AJ69" s="17" cm="1">
        <f t="array" ref="AJ69">$H69 *
IF(ISNUMBER(SEARCH("Rapid",$L69)),7/6,1) *
IF(OR(ISNUMBER(SEARCH("Beam",$L69)),ISNUMBER(SEARCH("Firestorm",$L69))),1, IF(ISNUMBER(SEARCH("Blast",$L69)),(4+$G69+(2-$G69)*0.5)/6*2,(4+$G69)/6)) *
_xlfn.IFS(AJ$24-$I69 &lt;=1, 5/6, AJ$24-$I69 &lt;=5, (7-(AJ$24-$I69))/6, AND(AJ$24-$I69 =6,NOT(_xlfn.IFNA(ISNUMBER(SEARCH("Rending",$L69)),FALSE))), (7-(AJ$24-$I69))/6, AND(AJ$24-$I69 &gt;=7,NOT(_xlfn.IFNA(ISNUMBER(SEARCH("Rending",$L69)),FALSE))), 0, AJ$24-$I69 =7, (7-(AJ$24-1-$I69))/6, AJ$24-$I69 =8, (7-(AJ$24-2-$I69))/6*2/3, AJ$24-$I69 =9, (7-(AJ$24-3-$I69))/6*1/3, TRUE, 0) *
IF(ISNUMBER(SEARCH("Ordinance",$L69)),7/6,1) *
IF(OR(ISNUMBER(SEARCH("Melee",$L69)),ISNUMBER(SEARCH("Bypass",$L69))),1.5,1)</f>
        <v>0.27777777777777779</v>
      </c>
      <c r="AK69" s="17" cm="1">
        <f t="array" ref="AK69">$H69 *
IF(ISNUMBER(SEARCH("Rapid",$L69)),7/6,1) *
IF(OR(ISNUMBER(SEARCH("Beam",$L69)),ISNUMBER(SEARCH("Firestorm",$L69))),1, IF(ISNUMBER(SEARCH("Blast",$L69)),(4+$G69+(2-$G69)*0.5)/6*2,(4+$G69)/6)) *
_xlfn.IFS(AK$24-$I69 &lt;=1, 5/6, AK$24-$I69 &lt;=5, (7-(AK$24-$I69))/6, AND(AK$24-$I69 =6,NOT(_xlfn.IFNA(ISNUMBER(SEARCH("Rending",$L69)),FALSE))), (7-(AK$24-$I69))/6, AND(AK$24-$I69 &gt;=7,NOT(_xlfn.IFNA(ISNUMBER(SEARCH("Rending",$L69)),FALSE))), 0, AK$24-$I69 =7, (7-(AK$24-1-$I69))/6, AK$24-$I69 =8, (7-(AK$24-2-$I69))/6*2/3, AK$24-$I69 =9, (7-(AK$24-3-$I69))/6*1/3, TRUE, 0) *
IF(ISNUMBER(SEARCH("Ordinance",$L69)),7/6,1) *
IF(OR(ISNUMBER(SEARCH("Melee",$L69)),ISNUMBER(SEARCH("Bypass",$L69))),1.5,1)</f>
        <v>0</v>
      </c>
      <c r="AL69" s="17" cm="1">
        <f t="array" ref="AL69">$H69 *
IF(ISNUMBER(SEARCH("Rapid",$L69)),7/6,1) *
IF(OR(ISNUMBER(SEARCH("Beam",$L69)),ISNUMBER(SEARCH("Firestorm",$L69))),1, IF(ISNUMBER(SEARCH("Blast",$L69)),(4+$G69+(2-$G69)*0.5)/6*2,(4+$G69)/6)) *
_xlfn.IFS(AL$24-$I69 &lt;=1, 5/6, AL$24-$I69 &lt;=5, (7-(AL$24-$I69))/6, AND(AL$24-$I69 =6,NOT(_xlfn.IFNA(ISNUMBER(SEARCH("Rending",$L69)),FALSE))), (7-(AL$24-$I69))/6, AND(AL$24-$I69 &gt;=7,NOT(_xlfn.IFNA(ISNUMBER(SEARCH("Rending",$L69)),FALSE))), 0, AL$24-$I69 =7, (7-(AL$24-1-$I69))/6, AL$24-$I69 =8, (7-(AL$24-2-$I69))/6*2/3, AL$24-$I69 =9, (7-(AL$24-3-$I69))/6*1/3, TRUE, 0) *
IF(ISNUMBER(SEARCH("Ordinance",$L69)),7/6,1) *
IF(OR(ISNUMBER(SEARCH("Melee",$L69)),ISNUMBER(SEARCH("Bypass",$L69))),1.5,1)</f>
        <v>0</v>
      </c>
      <c r="AM69" s="17" cm="1">
        <f t="array" ref="AM69">$H69 *
IF(ISNUMBER(SEARCH("Rapid",$L69)),7/6,1) *
IF(OR(ISNUMBER(SEARCH("Beam",$L69)),ISNUMBER(SEARCH("Firestorm",$L69))),1, IF(ISNUMBER(SEARCH("Blast",$L69)),(4+$G69+(2-$G69)*0.5)/6*2,(4+$G69)/6)) *
_xlfn.IFS(AM$24-$I69 &lt;=1, 5/6, AM$24-$I69 &lt;=5, (7-(AM$24-$I69))/6, AND(AM$24-$I69 =6,NOT(_xlfn.IFNA(ISNUMBER(SEARCH("Rending",$L69)),FALSE))), (7-(AM$24-$I69))/6, AND(AM$24-$I69 &gt;=7,NOT(_xlfn.IFNA(ISNUMBER(SEARCH("Rending",$L69)),FALSE))), 0, AM$24-$I69 =7, (7-(AM$24-1-$I69))/6, AM$24-$I69 =8, (7-(AM$24-2-$I69))/6*2/3, AM$24-$I69 =9, (7-(AM$24-3-$I69))/6*1/3, TRUE, 0) *
IF(ISNUMBER(SEARCH("Ordinance",$L69)),7/6,1) *
IF(OR(ISNUMBER(SEARCH("Melee",$L69)),ISNUMBER(SEARCH("Bypass",$L69))),1.5,1)</f>
        <v>0</v>
      </c>
      <c r="AN69" s="17" cm="1">
        <f t="array" ref="AN69">$H69 *
IF(ISNUMBER(SEARCH("Rapid",$L69)),7/6,1) *
IF(OR(ISNUMBER(SEARCH("Beam",$L69)),ISNUMBER(SEARCH("Firestorm",$L69))),1, IF(ISNUMBER(SEARCH("Blast",$L69)),(4+$G69+(2-$G69)*0.5)/6*2,(4+$G69)/6)) *
_xlfn.IFS(AN$24-$I69 &lt;=1, 5/6, AN$24-$I69 &lt;=5, (7-(AN$24-$I69))/6, AND(AN$24-$I69 =6,NOT(_xlfn.IFNA(ISNUMBER(SEARCH("Rending",$L69)),FALSE))), (7-(AN$24-$I69))/6, AND(AN$24-$I69 &gt;=7,NOT(_xlfn.IFNA(ISNUMBER(SEARCH("Rending",$L69)),FALSE))), 0, AN$24-$I69 =7, (7-(AN$24-1-$I69))/6, AN$24-$I69 =8, (7-(AN$24-2-$I69))/6*2/3, AN$24-$I69 =9, (7-(AN$24-3-$I69))/6*1/3, TRUE, 0) *
IF(ISNUMBER(SEARCH("Ordinance",$L69)),7/6,1) *
IF(OR(ISNUMBER(SEARCH("Melee",$L69)),ISNUMBER(SEARCH("Bypass",$L69))),1.5,1)</f>
        <v>0</v>
      </c>
      <c r="AO69" s="17" cm="1">
        <f t="array" ref="AO69">$H69 *
IF(ISNUMBER(SEARCH("Rapid",$L69)),7/6,1) *
IF(OR(ISNUMBER(SEARCH("Beam",$L69)),ISNUMBER(SEARCH("Firestorm",$L69))),1, IF(ISNUMBER(SEARCH("Blast",$L69)),(4+$G69+(2-$G69)*0.5)/6*2,(4+$G69)/6)) *
_xlfn.IFS(AO$24-$I69 &lt;=1, 5/6, AO$24-$I69 &lt;=5, (7-(AO$24-$I69))/6, AND(AO$24-$I69 =6,NOT(_xlfn.IFNA(ISNUMBER(SEARCH("Rending",$L69)),FALSE))), (7-(AO$24-$I69))/6, AND(AO$24-$I69 &gt;=7,NOT(_xlfn.IFNA(ISNUMBER(SEARCH("Rending",$L69)),FALSE))), 0, AO$24-$I69 =7, (7-(AO$24-1-$I69))/6, AO$24-$I69 =8, (7-(AO$24-2-$I69))/6*2/3, AO$24-$I69 =9, (7-(AO$24-3-$I69))/6*1/3, TRUE, 0) *
IF(ISNUMBER(SEARCH("Ordinance",$L69)),7/6,1) *
IF(OR(ISNUMBER(SEARCH("Melee",$L69)),ISNUMBER(SEARCH("Bypass",$L69))),1.5,1)</f>
        <v>0</v>
      </c>
      <c r="AP69" s="17" cm="1">
        <f t="array" ref="AP69">$H69 *
IF(ISNUMBER(SEARCH("Rapid",$L69)),7/6,1) *
IF(OR(ISNUMBER(SEARCH("Beam",$L69)),ISNUMBER(SEARCH("Firestorm",$L69))),1, IF(ISNUMBER(SEARCH("Blast",$L69)),(4+$G69+(2-$G69)*0.5)/6*2,(4+$G69)/6)) *
_xlfn.IFS(AP$24-$I69 &lt;=1, 5/6, AP$24-$I69 &lt;=5, (7-(AP$24-$I69))/6, AND(AP$24-$I69 =6,NOT(_xlfn.IFNA(ISNUMBER(SEARCH("Rending",$L69)),FALSE))), (7-(AP$24-$I69))/6, AND(AP$24-$I69 &gt;=7,NOT(_xlfn.IFNA(ISNUMBER(SEARCH("Rending",$L69)),FALSE))), 0, AP$24-$I69 =7, (7-(AP$24-1-$I69))/6, AP$24-$I69 =8, (7-(AP$24-2-$I69))/6*2/3, AP$24-$I69 =9, (7-(AP$24-3-$I69))/6*1/3, TRUE, 0) *
IF(ISNUMBER(SEARCH("Ordinance",$L69)),7/6,1) *
IF(OR(ISNUMBER(SEARCH("Melee",$L69)),ISNUMBER(SEARCH("Bypass",$L69))),1.5,1)</f>
        <v>0</v>
      </c>
      <c r="AQ69" s="17" cm="1">
        <f t="array" ref="AQ69">$H69 *
IF(ISNUMBER(SEARCH("Rapid",$L69)),7/6,1) *
IF(OR(ISNUMBER(SEARCH("Beam",$L69)),ISNUMBER(SEARCH("Firestorm",$L69))),1, IF(ISNUMBER(SEARCH("Blast",$L69)),(4+$G69+(2-$G69)*0.5)/6*2,(4+$G69)/6)) *
_xlfn.IFS(AQ$24-$I69 &lt;=1, 5/6, AQ$24-$I69 &lt;=5, (7-(AQ$24-$I69))/6, AND(AQ$24-$I69 =6,NOT(_xlfn.IFNA(ISNUMBER(SEARCH("Rending",$L69)),FALSE))), (7-(AQ$24-$I69))/6, AND(AQ$24-$I69 &gt;=7,NOT(_xlfn.IFNA(ISNUMBER(SEARCH("Rending",$L69)),FALSE))), 0, AQ$24-$I69 =7, (7-(AQ$24-1-$I69))/6, AQ$24-$I69 =8, (7-(AQ$24-2-$I69))/6*2/3, AQ$24-$I69 =9, (7-(AQ$24-3-$I69))/6*1/3, TRUE, 0) *
IF(ISNUMBER(SEARCH("Ordinance",$L69)),7/6,1) *
IF(OR(ISNUMBER(SEARCH("Melee",$L69)),ISNUMBER(SEARCH("Bypass",$L69))),1.5,1)</f>
        <v>0</v>
      </c>
      <c r="AS69" s="16">
        <f t="shared" si="11"/>
        <v>0.37037037037037041</v>
      </c>
      <c r="AT69" s="16">
        <f t="shared" si="12"/>
        <v>0.55555555555555558</v>
      </c>
      <c r="AU69" s="16">
        <f t="shared" si="9"/>
        <v>0.43703703703703706</v>
      </c>
      <c r="AV69" s="2">
        <v>9</v>
      </c>
    </row>
    <row r="70" spans="1:48" x14ac:dyDescent="0.3">
      <c r="A70" t="s">
        <v>274</v>
      </c>
      <c r="B70" s="3">
        <v>30</v>
      </c>
      <c r="C70" s="3">
        <v>120</v>
      </c>
      <c r="D70" s="3">
        <v>1</v>
      </c>
      <c r="E70" s="3">
        <v>2</v>
      </c>
      <c r="F70" s="10"/>
      <c r="G70" s="10">
        <v>1</v>
      </c>
      <c r="H70" s="3">
        <v>5</v>
      </c>
      <c r="I70" s="3">
        <v>4</v>
      </c>
      <c r="J70" s="3" t="s">
        <v>215</v>
      </c>
      <c r="K70" s="3">
        <v>30</v>
      </c>
      <c r="L70" s="3" t="s">
        <v>275</v>
      </c>
      <c r="M70" s="3" t="s">
        <v>225</v>
      </c>
      <c r="N70" s="3">
        <v>10</v>
      </c>
      <c r="O70" s="3">
        <v>10</v>
      </c>
      <c r="P70" s="3">
        <v>14</v>
      </c>
      <c r="Q70" s="3" t="s">
        <v>200</v>
      </c>
      <c r="R70" s="3">
        <v>7</v>
      </c>
      <c r="S70" s="3">
        <v>9</v>
      </c>
      <c r="T70" s="3">
        <v>4</v>
      </c>
      <c r="U70" t="s">
        <v>276</v>
      </c>
      <c r="V70" s="16">
        <f t="shared" si="20"/>
        <v>1.1111111111111109</v>
      </c>
      <c r="W70" s="16">
        <f t="shared" si="21"/>
        <v>1.6666666666666665</v>
      </c>
      <c r="X70" s="17" cm="1">
        <f t="array" ref="X70">$H70 *
IF(ISNUMBER(SEARCH("Rapid",$L70)),7/6,1) *
IF(OR(ISNUMBER(SEARCH("Beam",$L70)),ISNUMBER(SEARCH("Firestorm",$L70))),1, IF(ISNUMBER(SEARCH("Blast",$L70)),(4+$F70+(2-$F70)*0.5)/6*2,(4+$F70)/6)) *
IF(ISNUMBER(SEARCH("Fusion",$L70)), _xlfn.IFS(X$24-$I70 &lt;=1, 9/10, X$24-$I70 &lt;=10,(11-(X$24-$I70))/10, X$24-$I70 &gt;=11, 0),
_xlfn.IFS(X$24-$I70 &lt;=1, 5/6, X$24-$I70 &lt;=5, (7-(X$24-$I70))/6, AND(X$24-$I70 =6,NOT(_xlfn.IFNA(ISNUMBER(SEARCH("Rending",$L70)),FALSE))), (7-(X$24-$I70))/6, AND(X$24-$I70 &gt;=7,NOT(_xlfn.IFNA(ISNUMBER(SEARCH("Rending",$L70)),FALSE))), 0, X$24-$I70 =7, (7-(X$24-1-$I70))/6, X$24-$I70 =8, (7-(X$24-2-$I70))/6*2/3, X$24-$I70 =9, (7-(X$24-3-$I70))/6*1/3, TRUE, 0)) *
IF(ISNUMBER(SEARCH("Ordinance",$L70)),7/6,1) *
IF(OR(ISNUMBER(SEARCH("Melee",$L70)),ISNUMBER(SEARCH("Bypass",$L70))),1.5,1)</f>
        <v>1.1111111111111109</v>
      </c>
      <c r="Y70" s="17" cm="1">
        <f t="array" ref="Y70">$H70 *
IF(ISNUMBER(SEARCH("Rapid",$L70)),7/6,1) *
IF(OR(ISNUMBER(SEARCH("Beam",$L70)),ISNUMBER(SEARCH("Firestorm",$L70))),1, IF(ISNUMBER(SEARCH("Blast",$L70)),(4+$F70+(2-$F70)*0.5)/6*2,(4+$F70)/6)) *
IF(ISNUMBER(SEARCH("Fusion",$L70)), _xlfn.IFS(Y$24-$I70 &lt;=1, 9/10, Y$24-$I70 &lt;=10,(11-(Y$24-$I70))/10, Y$24-$I70 &gt;=11, 0),
_xlfn.IFS(Y$24-$I70 &lt;=1, 5/6, Y$24-$I70 &lt;=5, (7-(Y$24-$I70))/6, AND(Y$24-$I70 =6,NOT(_xlfn.IFNA(ISNUMBER(SEARCH("Rending",$L70)),FALSE))), (7-(Y$24-$I70))/6, AND(Y$24-$I70 &gt;=7,NOT(_xlfn.IFNA(ISNUMBER(SEARCH("Rending",$L70)),FALSE))), 0, Y$24-$I70 =7, (7-(Y$24-1-$I70))/6, Y$24-$I70 =8, (7-(Y$24-2-$I70))/6*2/3, Y$24-$I70 =9, (7-(Y$24-3-$I70))/6*1/3, TRUE, 0)) *
IF(ISNUMBER(SEARCH("Ordinance",$L70)),7/6,1) *
IF(OR(ISNUMBER(SEARCH("Melee",$L70)),ISNUMBER(SEARCH("Bypass",$L70))),1.5,1)</f>
        <v>0.55555555555555547</v>
      </c>
      <c r="Z70" s="17" cm="1">
        <f t="array" ref="Z70">$H70 *
IF(ISNUMBER(SEARCH("Rapid",$L70)),7/6,1) *
IF(OR(ISNUMBER(SEARCH("Beam",$L70)),ISNUMBER(SEARCH("Firestorm",$L70))),1, IF(ISNUMBER(SEARCH("Blast",$L70)),(4+$F70+(2-$F70)*0.5)/6*2,(4+$F70)/6)) *
IF(ISNUMBER(SEARCH("Fusion",$L70)), _xlfn.IFS(Z$24-$I70 &lt;=1, 9/10, Z$24-$I70 &lt;=10,(11-(Z$24-$I70))/10, Z$24-$I70 &gt;=11, 0),
_xlfn.IFS(Z$24-$I70 &lt;=1, 5/6, Z$24-$I70 &lt;=5, (7-(Z$24-$I70))/6, AND(Z$24-$I70 =6,NOT(_xlfn.IFNA(ISNUMBER(SEARCH("Rending",$L70)),FALSE))), (7-(Z$24-$I70))/6, AND(Z$24-$I70 &gt;=7,NOT(_xlfn.IFNA(ISNUMBER(SEARCH("Rending",$L70)),FALSE))), 0, Z$24-$I70 =7, (7-(Z$24-1-$I70))/6, Z$24-$I70 =8, (7-(Z$24-2-$I70))/6*2/3, Z$24-$I70 =9, (7-(Z$24-3-$I70))/6*1/3, TRUE, 0)) *
IF(ISNUMBER(SEARCH("Ordinance",$L70)),7/6,1) *
IF(OR(ISNUMBER(SEARCH("Melee",$L70)),ISNUMBER(SEARCH("Bypass",$L70))),1.5,1)</f>
        <v>0</v>
      </c>
      <c r="AA70" s="17" cm="1">
        <f t="array" ref="AA70">$H70 *
IF(ISNUMBER(SEARCH("Rapid",$L70)),7/6,1) *
IF(OR(ISNUMBER(SEARCH("Beam",$L70)),ISNUMBER(SEARCH("Firestorm",$L70))),1, IF(ISNUMBER(SEARCH("Blast",$L70)),(4+$F70+(2-$F70)*0.5)/6*2,(4+$F70)/6)) *
IF(ISNUMBER(SEARCH("Fusion",$L70)), _xlfn.IFS(AA$24-$I70 &lt;=1, 9/10, AA$24-$I70 &lt;=10,(11-(AA$24-$I70))/10, AA$24-$I70 &gt;=11, 0),
_xlfn.IFS(AA$24-$I70 &lt;=1, 5/6, AA$24-$I70 &lt;=5, (7-(AA$24-$I70))/6, AND(AA$24-$I70 =6,NOT(_xlfn.IFNA(ISNUMBER(SEARCH("Rending",$L70)),FALSE))), (7-(AA$24-$I70))/6, AND(AA$24-$I70 &gt;=7,NOT(_xlfn.IFNA(ISNUMBER(SEARCH("Rending",$L70)),FALSE))), 0, AA$24-$I70 =7, (7-(AA$24-1-$I70))/6, AA$24-$I70 =8, (7-(AA$24-2-$I70))/6*2/3, AA$24-$I70 =9, (7-(AA$24-3-$I70))/6*1/3, TRUE, 0)) *
IF(ISNUMBER(SEARCH("Ordinance",$L70)),7/6,1) *
IF(OR(ISNUMBER(SEARCH("Melee",$L70)),ISNUMBER(SEARCH("Bypass",$L70))),1.5,1)</f>
        <v>0</v>
      </c>
      <c r="AB70" s="17" cm="1">
        <f t="array" ref="AB70">$H70 *
IF(ISNUMBER(SEARCH("Rapid",$L70)),7/6,1) *
IF(OR(ISNUMBER(SEARCH("Beam",$L70)),ISNUMBER(SEARCH("Firestorm",$L70))),1, IF(ISNUMBER(SEARCH("Blast",$L70)),(4+$F70+(2-$F70)*0.5)/6*2,(4+$F70)/6)) *
IF(ISNUMBER(SEARCH("Fusion",$L70)), _xlfn.IFS(AB$24-$I70 &lt;=1, 9/10, AB$24-$I70 &lt;=10,(11-(AB$24-$I70))/10, AB$24-$I70 &gt;=11, 0),
_xlfn.IFS(AB$24-$I70 &lt;=1, 5/6, AB$24-$I70 &lt;=5, (7-(AB$24-$I70))/6, AND(AB$24-$I70 =6,NOT(_xlfn.IFNA(ISNUMBER(SEARCH("Rending",$L70)),FALSE))), (7-(AB$24-$I70))/6, AND(AB$24-$I70 &gt;=7,NOT(_xlfn.IFNA(ISNUMBER(SEARCH("Rending",$L70)),FALSE))), 0, AB$24-$I70 =7, (7-(AB$24-1-$I70))/6, AB$24-$I70 =8, (7-(AB$24-2-$I70))/6*2/3, AB$24-$I70 =9, (7-(AB$24-3-$I70))/6*1/3, TRUE, 0)) *
IF(ISNUMBER(SEARCH("Ordinance",$L70)),7/6,1) *
IF(OR(ISNUMBER(SEARCH("Melee",$L70)),ISNUMBER(SEARCH("Bypass",$L70))),1.5,1)</f>
        <v>0</v>
      </c>
      <c r="AC70" s="17" cm="1">
        <f t="array" ref="AC70">$H70 *
IF(ISNUMBER(SEARCH("Rapid",$L70)),7/6,1) *
IF(OR(ISNUMBER(SEARCH("Beam",$L70)),ISNUMBER(SEARCH("Firestorm",$L70))),1, IF(ISNUMBER(SEARCH("Blast",$L70)),(4+$F70+(2-$F70)*0.5)/6*2,(4+$F70)/6)) *
IF(ISNUMBER(SEARCH("Fusion",$L70)), _xlfn.IFS(AC$24-$I70 &lt;=1, 9/10, AC$24-$I70 &lt;=10,(11-(AC$24-$I70))/10, AC$24-$I70 &gt;=11, 0),
_xlfn.IFS(AC$24-$I70 &lt;=1, 5/6, AC$24-$I70 &lt;=5, (7-(AC$24-$I70))/6, AND(AC$24-$I70 =6,NOT(_xlfn.IFNA(ISNUMBER(SEARCH("Rending",$L70)),FALSE))), (7-(AC$24-$I70))/6, AND(AC$24-$I70 &gt;=7,NOT(_xlfn.IFNA(ISNUMBER(SEARCH("Rending",$L70)),FALSE))), 0, AC$24-$I70 =7, (7-(AC$24-1-$I70))/6, AC$24-$I70 =8, (7-(AC$24-2-$I70))/6*2/3, AC$24-$I70 =9, (7-(AC$24-3-$I70))/6*1/3, TRUE, 0)) *
IF(ISNUMBER(SEARCH("Ordinance",$L70)),7/6,1) *
IF(OR(ISNUMBER(SEARCH("Melee",$L70)),ISNUMBER(SEARCH("Bypass",$L70))),1.5,1)</f>
        <v>0</v>
      </c>
      <c r="AD70" s="17" cm="1">
        <f t="array" ref="AD70">$H70 *
IF(ISNUMBER(SEARCH("Rapid",$L70)),7/6,1) *
IF(OR(ISNUMBER(SEARCH("Beam",$L70)),ISNUMBER(SEARCH("Firestorm",$L70))),1, IF(ISNUMBER(SEARCH("Blast",$L70)),(4+$F70+(2-$F70)*0.5)/6*2,(4+$F70)/6)) *
IF(ISNUMBER(SEARCH("Fusion",$L70)), _xlfn.IFS(AD$24-$I70 &lt;=1, 9/10, AD$24-$I70 &lt;=10,(11-(AD$24-$I70))/10, AD$24-$I70 &gt;=11, 0),
_xlfn.IFS(AD$24-$I70 &lt;=1, 5/6, AD$24-$I70 &lt;=5, (7-(AD$24-$I70))/6, AND(AD$24-$I70 =6,NOT(_xlfn.IFNA(ISNUMBER(SEARCH("Rending",$L70)),FALSE))), (7-(AD$24-$I70))/6, AND(AD$24-$I70 &gt;=7,NOT(_xlfn.IFNA(ISNUMBER(SEARCH("Rending",$L70)),FALSE))), 0, AD$24-$I70 =7, (7-(AD$24-1-$I70))/6, AD$24-$I70 =8, (7-(AD$24-2-$I70))/6*2/3, AD$24-$I70 =9, (7-(AD$24-3-$I70))/6*1/3, TRUE, 0)) *
IF(ISNUMBER(SEARCH("Ordinance",$L70)),7/6,1) *
IF(OR(ISNUMBER(SEARCH("Melee",$L70)),ISNUMBER(SEARCH("Bypass",$L70))),1.5,1)</f>
        <v>0</v>
      </c>
      <c r="AE70" s="17" cm="1">
        <f t="array" ref="AE70">$H70 *
IF(ISNUMBER(SEARCH("Rapid",$L70)),7/6,1) *
IF(OR(ISNUMBER(SEARCH("Beam",$L70)),ISNUMBER(SEARCH("Firestorm",$L70))),1, IF(ISNUMBER(SEARCH("Blast",$L70)),(4+$F70+(2-$F70)*0.5)/6*2,(4+$F70)/6)) *
IF(ISNUMBER(SEARCH("Fusion",$L70)), _xlfn.IFS(AE$24-$I70 &lt;=1, 9/10, AE$24-$I70 &lt;=10,(11-(AE$24-$I70))/10, AE$24-$I70 &gt;=11, 0),
_xlfn.IFS(AE$24-$I70 &lt;=1, 5/6, AE$24-$I70 &lt;=5, (7-(AE$24-$I70))/6, AND(AE$24-$I70 =6,NOT(_xlfn.IFNA(ISNUMBER(SEARCH("Rending",$L70)),FALSE))), (7-(AE$24-$I70))/6, AND(AE$24-$I70 &gt;=7,NOT(_xlfn.IFNA(ISNUMBER(SEARCH("Rending",$L70)),FALSE))), 0, AE$24-$I70 =7, (7-(AE$24-1-$I70))/6, AE$24-$I70 =8, (7-(AE$24-2-$I70))/6*2/3, AE$24-$I70 =9, (7-(AE$24-3-$I70))/6*1/3, TRUE, 0)) *
IF(ISNUMBER(SEARCH("Ordinance",$L70)),7/6,1) *
IF(OR(ISNUMBER(SEARCH("Melee",$L70)),ISNUMBER(SEARCH("Bypass",$L70))),1.5,1)</f>
        <v>0</v>
      </c>
      <c r="AF70" s="17" cm="1">
        <f t="array" ref="AF70">$H70 *
IF(ISNUMBER(SEARCH("Rapid",$L70)),7/6,1) *
IF(OR(ISNUMBER(SEARCH("Beam",$L70)),ISNUMBER(SEARCH("Firestorm",$L70))),1, IF(ISNUMBER(SEARCH("Blast",$L70)),(4+$F70+(2-$F70)*0.5)/6*2,(4+$F70)/6)) *
IF(ISNUMBER(SEARCH("Fusion",$L70)), _xlfn.IFS(AF$24-$I70 &lt;=1, 9/10, AF$24-$I70 &lt;=10,(11-(AF$24-$I70))/10, AF$24-$I70 &gt;=11, 0),
_xlfn.IFS(AF$24-$I70 &lt;=1, 5/6, AF$24-$I70 &lt;=5, (7-(AF$24-$I70))/6, AND(AF$24-$I70 =6,NOT(_xlfn.IFNA(ISNUMBER(SEARCH("Rending",$L70)),FALSE))), (7-(AF$24-$I70))/6, AND(AF$24-$I70 &gt;=7,NOT(_xlfn.IFNA(ISNUMBER(SEARCH("Rending",$L70)),FALSE))), 0, AF$24-$I70 =7, (7-(AF$24-1-$I70))/6, AF$24-$I70 =8, (7-(AF$24-2-$I70))/6*2/3, AF$24-$I70 =9, (7-(AF$24-3-$I70))/6*1/3, TRUE, 0)) *
IF(ISNUMBER(SEARCH("Ordinance",$L70)),7/6,1) *
IF(OR(ISNUMBER(SEARCH("Melee",$L70)),ISNUMBER(SEARCH("Bypass",$L70))),1.5,1)</f>
        <v>0</v>
      </c>
      <c r="AG70" s="16">
        <f t="shared" si="22"/>
        <v>1.3888888888888888</v>
      </c>
      <c r="AH70" s="16">
        <f t="shared" si="23"/>
        <v>2.0833333333333335</v>
      </c>
      <c r="AI70" s="17" cm="1">
        <f t="array" ref="AI70">$H70 *
IF(ISNUMBER(SEARCH("Rapid",$L70)),7/6,1) *
IF(OR(ISNUMBER(SEARCH("Beam",$L70)),ISNUMBER(SEARCH("Firestorm",$L70))),1, IF(ISNUMBER(SEARCH("Blast",$L70)),(4+$G70+(2-$G70)*0.5)/6*2,(4+$G70)/6)) *
_xlfn.IFS(AI$24-$I70 &lt;=1, 5/6, AI$24-$I70 &lt;=5, (7-(AI$24-$I70))/6, AND(AI$24-$I70 =6,NOT(_xlfn.IFNA(ISNUMBER(SEARCH("Rending",$L70)),FALSE))), (7-(AI$24-$I70))/6, AND(AI$24-$I70 &gt;=7,NOT(_xlfn.IFNA(ISNUMBER(SEARCH("Rending",$L70)),FALSE))), 0, AI$24-$I70 =7, (7-(AI$24-1-$I70))/6, AI$24-$I70 =8, (7-(AI$24-2-$I70))/6*2/3, AI$24-$I70 =9, (7-(AI$24-3-$I70))/6*1/3, TRUE, 0) *
IF(ISNUMBER(SEARCH("Ordinance",$L70)),7/6,1) *
IF(OR(ISNUMBER(SEARCH("Melee",$L70)),ISNUMBER(SEARCH("Bypass",$L70))),1.5,1)</f>
        <v>1.3888888888888888</v>
      </c>
      <c r="AJ70" s="17" cm="1">
        <f t="array" ref="AJ70">$H70 *
IF(ISNUMBER(SEARCH("Rapid",$L70)),7/6,1) *
IF(OR(ISNUMBER(SEARCH("Beam",$L70)),ISNUMBER(SEARCH("Firestorm",$L70))),1, IF(ISNUMBER(SEARCH("Blast",$L70)),(4+$G70+(2-$G70)*0.5)/6*2,(4+$G70)/6)) *
_xlfn.IFS(AJ$24-$I70 &lt;=1, 5/6, AJ$24-$I70 &lt;=5, (7-(AJ$24-$I70))/6, AND(AJ$24-$I70 =6,NOT(_xlfn.IFNA(ISNUMBER(SEARCH("Rending",$L70)),FALSE))), (7-(AJ$24-$I70))/6, AND(AJ$24-$I70 &gt;=7,NOT(_xlfn.IFNA(ISNUMBER(SEARCH("Rending",$L70)),FALSE))), 0, AJ$24-$I70 =7, (7-(AJ$24-1-$I70))/6, AJ$24-$I70 =8, (7-(AJ$24-2-$I70))/6*2/3, AJ$24-$I70 =9, (7-(AJ$24-3-$I70))/6*1/3, TRUE, 0) *
IF(ISNUMBER(SEARCH("Ordinance",$L70)),7/6,1) *
IF(OR(ISNUMBER(SEARCH("Melee",$L70)),ISNUMBER(SEARCH("Bypass",$L70))),1.5,1)</f>
        <v>0.69444444444444442</v>
      </c>
      <c r="AK70" s="17" cm="1">
        <f t="array" ref="AK70">$H70 *
IF(ISNUMBER(SEARCH("Rapid",$L70)),7/6,1) *
IF(OR(ISNUMBER(SEARCH("Beam",$L70)),ISNUMBER(SEARCH("Firestorm",$L70))),1, IF(ISNUMBER(SEARCH("Blast",$L70)),(4+$G70+(2-$G70)*0.5)/6*2,(4+$G70)/6)) *
_xlfn.IFS(AK$24-$I70 &lt;=1, 5/6, AK$24-$I70 &lt;=5, (7-(AK$24-$I70))/6, AND(AK$24-$I70 =6,NOT(_xlfn.IFNA(ISNUMBER(SEARCH("Rending",$L70)),FALSE))), (7-(AK$24-$I70))/6, AND(AK$24-$I70 &gt;=7,NOT(_xlfn.IFNA(ISNUMBER(SEARCH("Rending",$L70)),FALSE))), 0, AK$24-$I70 =7, (7-(AK$24-1-$I70))/6, AK$24-$I70 =8, (7-(AK$24-2-$I70))/6*2/3, AK$24-$I70 =9, (7-(AK$24-3-$I70))/6*1/3, TRUE, 0) *
IF(ISNUMBER(SEARCH("Ordinance",$L70)),7/6,1) *
IF(OR(ISNUMBER(SEARCH("Melee",$L70)),ISNUMBER(SEARCH("Bypass",$L70))),1.5,1)</f>
        <v>0</v>
      </c>
      <c r="AL70" s="17" cm="1">
        <f t="array" ref="AL70">$H70 *
IF(ISNUMBER(SEARCH("Rapid",$L70)),7/6,1) *
IF(OR(ISNUMBER(SEARCH("Beam",$L70)),ISNUMBER(SEARCH("Firestorm",$L70))),1, IF(ISNUMBER(SEARCH("Blast",$L70)),(4+$G70+(2-$G70)*0.5)/6*2,(4+$G70)/6)) *
_xlfn.IFS(AL$24-$I70 &lt;=1, 5/6, AL$24-$I70 &lt;=5, (7-(AL$24-$I70))/6, AND(AL$24-$I70 =6,NOT(_xlfn.IFNA(ISNUMBER(SEARCH("Rending",$L70)),FALSE))), (7-(AL$24-$I70))/6, AND(AL$24-$I70 &gt;=7,NOT(_xlfn.IFNA(ISNUMBER(SEARCH("Rending",$L70)),FALSE))), 0, AL$24-$I70 =7, (7-(AL$24-1-$I70))/6, AL$24-$I70 =8, (7-(AL$24-2-$I70))/6*2/3, AL$24-$I70 =9, (7-(AL$24-3-$I70))/6*1/3, TRUE, 0) *
IF(ISNUMBER(SEARCH("Ordinance",$L70)),7/6,1) *
IF(OR(ISNUMBER(SEARCH("Melee",$L70)),ISNUMBER(SEARCH("Bypass",$L70))),1.5,1)</f>
        <v>0</v>
      </c>
      <c r="AM70" s="17" cm="1">
        <f t="array" ref="AM70">$H70 *
IF(ISNUMBER(SEARCH("Rapid",$L70)),7/6,1) *
IF(OR(ISNUMBER(SEARCH("Beam",$L70)),ISNUMBER(SEARCH("Firestorm",$L70))),1, IF(ISNUMBER(SEARCH("Blast",$L70)),(4+$G70+(2-$G70)*0.5)/6*2,(4+$G70)/6)) *
_xlfn.IFS(AM$24-$I70 &lt;=1, 5/6, AM$24-$I70 &lt;=5, (7-(AM$24-$I70))/6, AND(AM$24-$I70 =6,NOT(_xlfn.IFNA(ISNUMBER(SEARCH("Rending",$L70)),FALSE))), (7-(AM$24-$I70))/6, AND(AM$24-$I70 &gt;=7,NOT(_xlfn.IFNA(ISNUMBER(SEARCH("Rending",$L70)),FALSE))), 0, AM$24-$I70 =7, (7-(AM$24-1-$I70))/6, AM$24-$I70 =8, (7-(AM$24-2-$I70))/6*2/3, AM$24-$I70 =9, (7-(AM$24-3-$I70))/6*1/3, TRUE, 0) *
IF(ISNUMBER(SEARCH("Ordinance",$L70)),7/6,1) *
IF(OR(ISNUMBER(SEARCH("Melee",$L70)),ISNUMBER(SEARCH("Bypass",$L70))),1.5,1)</f>
        <v>0</v>
      </c>
      <c r="AN70" s="17" cm="1">
        <f t="array" ref="AN70">$H70 *
IF(ISNUMBER(SEARCH("Rapid",$L70)),7/6,1) *
IF(OR(ISNUMBER(SEARCH("Beam",$L70)),ISNUMBER(SEARCH("Firestorm",$L70))),1, IF(ISNUMBER(SEARCH("Blast",$L70)),(4+$G70+(2-$G70)*0.5)/6*2,(4+$G70)/6)) *
_xlfn.IFS(AN$24-$I70 &lt;=1, 5/6, AN$24-$I70 &lt;=5, (7-(AN$24-$I70))/6, AND(AN$24-$I70 =6,NOT(_xlfn.IFNA(ISNUMBER(SEARCH("Rending",$L70)),FALSE))), (7-(AN$24-$I70))/6, AND(AN$24-$I70 &gt;=7,NOT(_xlfn.IFNA(ISNUMBER(SEARCH("Rending",$L70)),FALSE))), 0, AN$24-$I70 =7, (7-(AN$24-1-$I70))/6, AN$24-$I70 =8, (7-(AN$24-2-$I70))/6*2/3, AN$24-$I70 =9, (7-(AN$24-3-$I70))/6*1/3, TRUE, 0) *
IF(ISNUMBER(SEARCH("Ordinance",$L70)),7/6,1) *
IF(OR(ISNUMBER(SEARCH("Melee",$L70)),ISNUMBER(SEARCH("Bypass",$L70))),1.5,1)</f>
        <v>0</v>
      </c>
      <c r="AO70" s="17" cm="1">
        <f t="array" ref="AO70">$H70 *
IF(ISNUMBER(SEARCH("Rapid",$L70)),7/6,1) *
IF(OR(ISNUMBER(SEARCH("Beam",$L70)),ISNUMBER(SEARCH("Firestorm",$L70))),1, IF(ISNUMBER(SEARCH("Blast",$L70)),(4+$G70+(2-$G70)*0.5)/6*2,(4+$G70)/6)) *
_xlfn.IFS(AO$24-$I70 &lt;=1, 5/6, AO$24-$I70 &lt;=5, (7-(AO$24-$I70))/6, AND(AO$24-$I70 =6,NOT(_xlfn.IFNA(ISNUMBER(SEARCH("Rending",$L70)),FALSE))), (7-(AO$24-$I70))/6, AND(AO$24-$I70 &gt;=7,NOT(_xlfn.IFNA(ISNUMBER(SEARCH("Rending",$L70)),FALSE))), 0, AO$24-$I70 =7, (7-(AO$24-1-$I70))/6, AO$24-$I70 =8, (7-(AO$24-2-$I70))/6*2/3, AO$24-$I70 =9, (7-(AO$24-3-$I70))/6*1/3, TRUE, 0) *
IF(ISNUMBER(SEARCH("Ordinance",$L70)),7/6,1) *
IF(OR(ISNUMBER(SEARCH("Melee",$L70)),ISNUMBER(SEARCH("Bypass",$L70))),1.5,1)</f>
        <v>0</v>
      </c>
      <c r="AP70" s="17" cm="1">
        <f t="array" ref="AP70">$H70 *
IF(ISNUMBER(SEARCH("Rapid",$L70)),7/6,1) *
IF(OR(ISNUMBER(SEARCH("Beam",$L70)),ISNUMBER(SEARCH("Firestorm",$L70))),1, IF(ISNUMBER(SEARCH("Blast",$L70)),(4+$G70+(2-$G70)*0.5)/6*2,(4+$G70)/6)) *
_xlfn.IFS(AP$24-$I70 &lt;=1, 5/6, AP$24-$I70 &lt;=5, (7-(AP$24-$I70))/6, AND(AP$24-$I70 =6,NOT(_xlfn.IFNA(ISNUMBER(SEARCH("Rending",$L70)),FALSE))), (7-(AP$24-$I70))/6, AND(AP$24-$I70 &gt;=7,NOT(_xlfn.IFNA(ISNUMBER(SEARCH("Rending",$L70)),FALSE))), 0, AP$24-$I70 =7, (7-(AP$24-1-$I70))/6, AP$24-$I70 =8, (7-(AP$24-2-$I70))/6*2/3, AP$24-$I70 =9, (7-(AP$24-3-$I70))/6*1/3, TRUE, 0) *
IF(ISNUMBER(SEARCH("Ordinance",$L70)),7/6,1) *
IF(OR(ISNUMBER(SEARCH("Melee",$L70)),ISNUMBER(SEARCH("Bypass",$L70))),1.5,1)</f>
        <v>0</v>
      </c>
      <c r="AQ70" s="17" cm="1">
        <f t="array" ref="AQ70">$H70 *
IF(ISNUMBER(SEARCH("Rapid",$L70)),7/6,1) *
IF(OR(ISNUMBER(SEARCH("Beam",$L70)),ISNUMBER(SEARCH("Firestorm",$L70))),1, IF(ISNUMBER(SEARCH("Blast",$L70)),(4+$G70+(2-$G70)*0.5)/6*2,(4+$G70)/6)) *
_xlfn.IFS(AQ$24-$I70 &lt;=1, 5/6, AQ$24-$I70 &lt;=5, (7-(AQ$24-$I70))/6, AND(AQ$24-$I70 =6,NOT(_xlfn.IFNA(ISNUMBER(SEARCH("Rending",$L70)),FALSE))), (7-(AQ$24-$I70))/6, AND(AQ$24-$I70 &gt;=7,NOT(_xlfn.IFNA(ISNUMBER(SEARCH("Rending",$L70)),FALSE))), 0, AQ$24-$I70 =7, (7-(AQ$24-1-$I70))/6, AQ$24-$I70 =8, (7-(AQ$24-2-$I70))/6*2/3, AQ$24-$I70 =9, (7-(AQ$24-3-$I70))/6*1/3, TRUE, 0) *
IF(ISNUMBER(SEARCH("Ordinance",$L70)),7/6,1) *
IF(OR(ISNUMBER(SEARCH("Melee",$L70)),ISNUMBER(SEARCH("Bypass",$L70))),1.5,1)</f>
        <v>0</v>
      </c>
      <c r="AS70" s="16">
        <f t="shared" si="11"/>
        <v>0.92592592592592593</v>
      </c>
      <c r="AT70" s="16">
        <f t="shared" si="12"/>
        <v>1.3888888888888891</v>
      </c>
      <c r="AU70" s="16">
        <f t="shared" si="9"/>
        <v>1.0925925925925926</v>
      </c>
      <c r="AV70" s="2">
        <v>9</v>
      </c>
    </row>
    <row r="71" spans="1:48" x14ac:dyDescent="0.3">
      <c r="A71" t="s">
        <v>131</v>
      </c>
      <c r="B71" s="3">
        <v>8</v>
      </c>
      <c r="C71" s="3">
        <v>20</v>
      </c>
      <c r="D71" s="3">
        <v>1</v>
      </c>
      <c r="E71" s="3">
        <v>1</v>
      </c>
      <c r="F71" s="10">
        <v>1</v>
      </c>
      <c r="G71" s="10"/>
      <c r="H71" s="3">
        <v>6</v>
      </c>
      <c r="I71" s="3">
        <v>4</v>
      </c>
      <c r="J71" s="3" t="s">
        <v>215</v>
      </c>
      <c r="K71" s="3">
        <v>10</v>
      </c>
      <c r="L71" s="3" t="s">
        <v>285</v>
      </c>
      <c r="M71" s="3" t="s">
        <v>225</v>
      </c>
      <c r="N71" s="3">
        <v>10</v>
      </c>
      <c r="O71" s="3">
        <v>10</v>
      </c>
      <c r="P71" s="3">
        <v>14</v>
      </c>
      <c r="Q71" s="3" t="s">
        <v>200</v>
      </c>
      <c r="R71" s="3">
        <v>7</v>
      </c>
      <c r="S71" s="3">
        <v>9</v>
      </c>
      <c r="T71" s="3">
        <v>3</v>
      </c>
      <c r="U71" t="s">
        <v>287</v>
      </c>
      <c r="V71" s="16">
        <f t="shared" si="20"/>
        <v>1.9444444444444446</v>
      </c>
      <c r="W71" s="16">
        <f t="shared" si="21"/>
        <v>2.916666666666667</v>
      </c>
      <c r="X71" s="17" cm="1">
        <f t="array" ref="X71">$H71 *
IF(ISNUMBER(SEARCH("Rapid",$L71)),7/6,1) *
IF(OR(ISNUMBER(SEARCH("Beam",$L71)),ISNUMBER(SEARCH("Firestorm",$L71))),1, IF(ISNUMBER(SEARCH("Blast",$L71)),(4+$F71+(2-$F71)*0.5)/6*2,(4+$F71)/6)) *
IF(ISNUMBER(SEARCH("Fusion",$L71)), _xlfn.IFS(X$24-$I71 &lt;=1, 9/10, X$24-$I71 &lt;=10,(11-(X$24-$I71))/10, X$24-$I71 &gt;=11, 0),
_xlfn.IFS(X$24-$I71 &lt;=1, 5/6, X$24-$I71 &lt;=5, (7-(X$24-$I71))/6, AND(X$24-$I71 =6,NOT(_xlfn.IFNA(ISNUMBER(SEARCH("Rending",$L71)),FALSE))), (7-(X$24-$I71))/6, AND(X$24-$I71 &gt;=7,NOT(_xlfn.IFNA(ISNUMBER(SEARCH("Rending",$L71)),FALSE))), 0, X$24-$I71 =7, (7-(X$24-1-$I71))/6, X$24-$I71 =8, (7-(X$24-2-$I71))/6*2/3, X$24-$I71 =9, (7-(X$24-3-$I71))/6*1/3, TRUE, 0)) *
IF(ISNUMBER(SEARCH("Ordinance",$L71)),7/6,1) *
IF(OR(ISNUMBER(SEARCH("Melee",$L71)),ISNUMBER(SEARCH("Bypass",$L71))),1.5,1)</f>
        <v>1.9444444444444446</v>
      </c>
      <c r="Y71" s="17" cm="1">
        <f t="array" ref="Y71">$H71 *
IF(ISNUMBER(SEARCH("Rapid",$L71)),7/6,1) *
IF(OR(ISNUMBER(SEARCH("Beam",$L71)),ISNUMBER(SEARCH("Firestorm",$L71))),1, IF(ISNUMBER(SEARCH("Blast",$L71)),(4+$F71+(2-$F71)*0.5)/6*2,(4+$F71)/6)) *
IF(ISNUMBER(SEARCH("Fusion",$L71)), _xlfn.IFS(Y$24-$I71 &lt;=1, 9/10, Y$24-$I71 &lt;=10,(11-(Y$24-$I71))/10, Y$24-$I71 &gt;=11, 0),
_xlfn.IFS(Y$24-$I71 &lt;=1, 5/6, Y$24-$I71 &lt;=5, (7-(Y$24-$I71))/6, AND(Y$24-$I71 =6,NOT(_xlfn.IFNA(ISNUMBER(SEARCH("Rending",$L71)),FALSE))), (7-(Y$24-$I71))/6, AND(Y$24-$I71 &gt;=7,NOT(_xlfn.IFNA(ISNUMBER(SEARCH("Rending",$L71)),FALSE))), 0, Y$24-$I71 =7, (7-(Y$24-1-$I71))/6, Y$24-$I71 =8, (7-(Y$24-2-$I71))/6*2/3, Y$24-$I71 =9, (7-(Y$24-3-$I71))/6*1/3, TRUE, 0)) *
IF(ISNUMBER(SEARCH("Ordinance",$L71)),7/6,1) *
IF(OR(ISNUMBER(SEARCH("Melee",$L71)),ISNUMBER(SEARCH("Bypass",$L71))),1.5,1)</f>
        <v>0.97222222222222232</v>
      </c>
      <c r="Z71" s="17" cm="1">
        <f t="array" ref="Z71">$H71 *
IF(ISNUMBER(SEARCH("Rapid",$L71)),7/6,1) *
IF(OR(ISNUMBER(SEARCH("Beam",$L71)),ISNUMBER(SEARCH("Firestorm",$L71))),1, IF(ISNUMBER(SEARCH("Blast",$L71)),(4+$F71+(2-$F71)*0.5)/6*2,(4+$F71)/6)) *
IF(ISNUMBER(SEARCH("Fusion",$L71)), _xlfn.IFS(Z$24-$I71 &lt;=1, 9/10, Z$24-$I71 &lt;=10,(11-(Z$24-$I71))/10, Z$24-$I71 &gt;=11, 0),
_xlfn.IFS(Z$24-$I71 &lt;=1, 5/6, Z$24-$I71 &lt;=5, (7-(Z$24-$I71))/6, AND(Z$24-$I71 =6,NOT(_xlfn.IFNA(ISNUMBER(SEARCH("Rending",$L71)),FALSE))), (7-(Z$24-$I71))/6, AND(Z$24-$I71 &gt;=7,NOT(_xlfn.IFNA(ISNUMBER(SEARCH("Rending",$L71)),FALSE))), 0, Z$24-$I71 =7, (7-(Z$24-1-$I71))/6, Z$24-$I71 =8, (7-(Z$24-2-$I71))/6*2/3, Z$24-$I71 =9, (7-(Z$24-3-$I71))/6*1/3, TRUE, 0)) *
IF(ISNUMBER(SEARCH("Ordinance",$L71)),7/6,1) *
IF(OR(ISNUMBER(SEARCH("Melee",$L71)),ISNUMBER(SEARCH("Bypass",$L71))),1.5,1)</f>
        <v>0</v>
      </c>
      <c r="AA71" s="17" cm="1">
        <f t="array" ref="AA71">$H71 *
IF(ISNUMBER(SEARCH("Rapid",$L71)),7/6,1) *
IF(OR(ISNUMBER(SEARCH("Beam",$L71)),ISNUMBER(SEARCH("Firestorm",$L71))),1, IF(ISNUMBER(SEARCH("Blast",$L71)),(4+$F71+(2-$F71)*0.5)/6*2,(4+$F71)/6)) *
IF(ISNUMBER(SEARCH("Fusion",$L71)), _xlfn.IFS(AA$24-$I71 &lt;=1, 9/10, AA$24-$I71 &lt;=10,(11-(AA$24-$I71))/10, AA$24-$I71 &gt;=11, 0),
_xlfn.IFS(AA$24-$I71 &lt;=1, 5/6, AA$24-$I71 &lt;=5, (7-(AA$24-$I71))/6, AND(AA$24-$I71 =6,NOT(_xlfn.IFNA(ISNUMBER(SEARCH("Rending",$L71)),FALSE))), (7-(AA$24-$I71))/6, AND(AA$24-$I71 &gt;=7,NOT(_xlfn.IFNA(ISNUMBER(SEARCH("Rending",$L71)),FALSE))), 0, AA$24-$I71 =7, (7-(AA$24-1-$I71))/6, AA$24-$I71 =8, (7-(AA$24-2-$I71))/6*2/3, AA$24-$I71 =9, (7-(AA$24-3-$I71))/6*1/3, TRUE, 0)) *
IF(ISNUMBER(SEARCH("Ordinance",$L71)),7/6,1) *
IF(OR(ISNUMBER(SEARCH("Melee",$L71)),ISNUMBER(SEARCH("Bypass",$L71))),1.5,1)</f>
        <v>0</v>
      </c>
      <c r="AB71" s="17" cm="1">
        <f t="array" ref="AB71">$H71 *
IF(ISNUMBER(SEARCH("Rapid",$L71)),7/6,1) *
IF(OR(ISNUMBER(SEARCH("Beam",$L71)),ISNUMBER(SEARCH("Firestorm",$L71))),1, IF(ISNUMBER(SEARCH("Blast",$L71)),(4+$F71+(2-$F71)*0.5)/6*2,(4+$F71)/6)) *
IF(ISNUMBER(SEARCH("Fusion",$L71)), _xlfn.IFS(AB$24-$I71 &lt;=1, 9/10, AB$24-$I71 &lt;=10,(11-(AB$24-$I71))/10, AB$24-$I71 &gt;=11, 0),
_xlfn.IFS(AB$24-$I71 &lt;=1, 5/6, AB$24-$I71 &lt;=5, (7-(AB$24-$I71))/6, AND(AB$24-$I71 =6,NOT(_xlfn.IFNA(ISNUMBER(SEARCH("Rending",$L71)),FALSE))), (7-(AB$24-$I71))/6, AND(AB$24-$I71 &gt;=7,NOT(_xlfn.IFNA(ISNUMBER(SEARCH("Rending",$L71)),FALSE))), 0, AB$24-$I71 =7, (7-(AB$24-1-$I71))/6, AB$24-$I71 =8, (7-(AB$24-2-$I71))/6*2/3, AB$24-$I71 =9, (7-(AB$24-3-$I71))/6*1/3, TRUE, 0)) *
IF(ISNUMBER(SEARCH("Ordinance",$L71)),7/6,1) *
IF(OR(ISNUMBER(SEARCH("Melee",$L71)),ISNUMBER(SEARCH("Bypass",$L71))),1.5,1)</f>
        <v>0</v>
      </c>
      <c r="AC71" s="17" cm="1">
        <f t="array" ref="AC71">$H71 *
IF(ISNUMBER(SEARCH("Rapid",$L71)),7/6,1) *
IF(OR(ISNUMBER(SEARCH("Beam",$L71)),ISNUMBER(SEARCH("Firestorm",$L71))),1, IF(ISNUMBER(SEARCH("Blast",$L71)),(4+$F71+(2-$F71)*0.5)/6*2,(4+$F71)/6)) *
IF(ISNUMBER(SEARCH("Fusion",$L71)), _xlfn.IFS(AC$24-$I71 &lt;=1, 9/10, AC$24-$I71 &lt;=10,(11-(AC$24-$I71))/10, AC$24-$I71 &gt;=11, 0),
_xlfn.IFS(AC$24-$I71 &lt;=1, 5/6, AC$24-$I71 &lt;=5, (7-(AC$24-$I71))/6, AND(AC$24-$I71 =6,NOT(_xlfn.IFNA(ISNUMBER(SEARCH("Rending",$L71)),FALSE))), (7-(AC$24-$I71))/6, AND(AC$24-$I71 &gt;=7,NOT(_xlfn.IFNA(ISNUMBER(SEARCH("Rending",$L71)),FALSE))), 0, AC$24-$I71 =7, (7-(AC$24-1-$I71))/6, AC$24-$I71 =8, (7-(AC$24-2-$I71))/6*2/3, AC$24-$I71 =9, (7-(AC$24-3-$I71))/6*1/3, TRUE, 0)) *
IF(ISNUMBER(SEARCH("Ordinance",$L71)),7/6,1) *
IF(OR(ISNUMBER(SEARCH("Melee",$L71)),ISNUMBER(SEARCH("Bypass",$L71))),1.5,1)</f>
        <v>0</v>
      </c>
      <c r="AD71" s="17" cm="1">
        <f t="array" ref="AD71">$H71 *
IF(ISNUMBER(SEARCH("Rapid",$L71)),7/6,1) *
IF(OR(ISNUMBER(SEARCH("Beam",$L71)),ISNUMBER(SEARCH("Firestorm",$L71))),1, IF(ISNUMBER(SEARCH("Blast",$L71)),(4+$F71+(2-$F71)*0.5)/6*2,(4+$F71)/6)) *
IF(ISNUMBER(SEARCH("Fusion",$L71)), _xlfn.IFS(AD$24-$I71 &lt;=1, 9/10, AD$24-$I71 &lt;=10,(11-(AD$24-$I71))/10, AD$24-$I71 &gt;=11, 0),
_xlfn.IFS(AD$24-$I71 &lt;=1, 5/6, AD$24-$I71 &lt;=5, (7-(AD$24-$I71))/6, AND(AD$24-$I71 =6,NOT(_xlfn.IFNA(ISNUMBER(SEARCH("Rending",$L71)),FALSE))), (7-(AD$24-$I71))/6, AND(AD$24-$I71 &gt;=7,NOT(_xlfn.IFNA(ISNUMBER(SEARCH("Rending",$L71)),FALSE))), 0, AD$24-$I71 =7, (7-(AD$24-1-$I71))/6, AD$24-$I71 =8, (7-(AD$24-2-$I71))/6*2/3, AD$24-$I71 =9, (7-(AD$24-3-$I71))/6*1/3, TRUE, 0)) *
IF(ISNUMBER(SEARCH("Ordinance",$L71)),7/6,1) *
IF(OR(ISNUMBER(SEARCH("Melee",$L71)),ISNUMBER(SEARCH("Bypass",$L71))),1.5,1)</f>
        <v>0</v>
      </c>
      <c r="AE71" s="17" cm="1">
        <f t="array" ref="AE71">$H71 *
IF(ISNUMBER(SEARCH("Rapid",$L71)),7/6,1) *
IF(OR(ISNUMBER(SEARCH("Beam",$L71)),ISNUMBER(SEARCH("Firestorm",$L71))),1, IF(ISNUMBER(SEARCH("Blast",$L71)),(4+$F71+(2-$F71)*0.5)/6*2,(4+$F71)/6)) *
IF(ISNUMBER(SEARCH("Fusion",$L71)), _xlfn.IFS(AE$24-$I71 &lt;=1, 9/10, AE$24-$I71 &lt;=10,(11-(AE$24-$I71))/10, AE$24-$I71 &gt;=11, 0),
_xlfn.IFS(AE$24-$I71 &lt;=1, 5/6, AE$24-$I71 &lt;=5, (7-(AE$24-$I71))/6, AND(AE$24-$I71 =6,NOT(_xlfn.IFNA(ISNUMBER(SEARCH("Rending",$L71)),FALSE))), (7-(AE$24-$I71))/6, AND(AE$24-$I71 &gt;=7,NOT(_xlfn.IFNA(ISNUMBER(SEARCH("Rending",$L71)),FALSE))), 0, AE$24-$I71 =7, (7-(AE$24-1-$I71))/6, AE$24-$I71 =8, (7-(AE$24-2-$I71))/6*2/3, AE$24-$I71 =9, (7-(AE$24-3-$I71))/6*1/3, TRUE, 0)) *
IF(ISNUMBER(SEARCH("Ordinance",$L71)),7/6,1) *
IF(OR(ISNUMBER(SEARCH("Melee",$L71)),ISNUMBER(SEARCH("Bypass",$L71))),1.5,1)</f>
        <v>0</v>
      </c>
      <c r="AF71" s="17" cm="1">
        <f t="array" ref="AF71">$H71 *
IF(ISNUMBER(SEARCH("Rapid",$L71)),7/6,1) *
IF(OR(ISNUMBER(SEARCH("Beam",$L71)),ISNUMBER(SEARCH("Firestorm",$L71))),1, IF(ISNUMBER(SEARCH("Blast",$L71)),(4+$F71+(2-$F71)*0.5)/6*2,(4+$F71)/6)) *
IF(ISNUMBER(SEARCH("Fusion",$L71)), _xlfn.IFS(AF$24-$I71 &lt;=1, 9/10, AF$24-$I71 &lt;=10,(11-(AF$24-$I71))/10, AF$24-$I71 &gt;=11, 0),
_xlfn.IFS(AF$24-$I71 &lt;=1, 5/6, AF$24-$I71 &lt;=5, (7-(AF$24-$I71))/6, AND(AF$24-$I71 =6,NOT(_xlfn.IFNA(ISNUMBER(SEARCH("Rending",$L71)),FALSE))), (7-(AF$24-$I71))/6, AND(AF$24-$I71 &gt;=7,NOT(_xlfn.IFNA(ISNUMBER(SEARCH("Rending",$L71)),FALSE))), 0, AF$24-$I71 =7, (7-(AF$24-1-$I71))/6, AF$24-$I71 =8, (7-(AF$24-2-$I71))/6*2/3, AF$24-$I71 =9, (7-(AF$24-3-$I71))/6*1/3, TRUE, 0)) *
IF(ISNUMBER(SEARCH("Ordinance",$L71)),7/6,1) *
IF(OR(ISNUMBER(SEARCH("Melee",$L71)),ISNUMBER(SEARCH("Bypass",$L71))),1.5,1)</f>
        <v>0</v>
      </c>
      <c r="AG71" s="16">
        <f t="shared" si="22"/>
        <v>1.5555555555555554</v>
      </c>
      <c r="AH71" s="16">
        <f t="shared" si="23"/>
        <v>2.333333333333333</v>
      </c>
      <c r="AI71" s="17" cm="1">
        <f t="array" ref="AI71">$H71 *
IF(ISNUMBER(SEARCH("Rapid",$L71)),7/6,1) *
IF(OR(ISNUMBER(SEARCH("Beam",$L71)),ISNUMBER(SEARCH("Firestorm",$L71))),1, IF(ISNUMBER(SEARCH("Blast",$L71)),(4+$G71+(2-$G71)*0.5)/6*2,(4+$G71)/6)) *
_xlfn.IFS(AI$24-$I71 &lt;=1, 5/6, AI$24-$I71 &lt;=5, (7-(AI$24-$I71))/6, AND(AI$24-$I71 =6,NOT(_xlfn.IFNA(ISNUMBER(SEARCH("Rending",$L71)),FALSE))), (7-(AI$24-$I71))/6, AND(AI$24-$I71 &gt;=7,NOT(_xlfn.IFNA(ISNUMBER(SEARCH("Rending",$L71)),FALSE))), 0, AI$24-$I71 =7, (7-(AI$24-1-$I71))/6, AI$24-$I71 =8, (7-(AI$24-2-$I71))/6*2/3, AI$24-$I71 =9, (7-(AI$24-3-$I71))/6*1/3, TRUE, 0) *
IF(ISNUMBER(SEARCH("Ordinance",$L71)),7/6,1) *
IF(OR(ISNUMBER(SEARCH("Melee",$L71)),ISNUMBER(SEARCH("Bypass",$L71))),1.5,1)</f>
        <v>1.5555555555555554</v>
      </c>
      <c r="AJ71" s="17" cm="1">
        <f t="array" ref="AJ71">$H71 *
IF(ISNUMBER(SEARCH("Rapid",$L71)),7/6,1) *
IF(OR(ISNUMBER(SEARCH("Beam",$L71)),ISNUMBER(SEARCH("Firestorm",$L71))),1, IF(ISNUMBER(SEARCH("Blast",$L71)),(4+$G71+(2-$G71)*0.5)/6*2,(4+$G71)/6)) *
_xlfn.IFS(AJ$24-$I71 &lt;=1, 5/6, AJ$24-$I71 &lt;=5, (7-(AJ$24-$I71))/6, AND(AJ$24-$I71 =6,NOT(_xlfn.IFNA(ISNUMBER(SEARCH("Rending",$L71)),FALSE))), (7-(AJ$24-$I71))/6, AND(AJ$24-$I71 &gt;=7,NOT(_xlfn.IFNA(ISNUMBER(SEARCH("Rending",$L71)),FALSE))), 0, AJ$24-$I71 =7, (7-(AJ$24-1-$I71))/6, AJ$24-$I71 =8, (7-(AJ$24-2-$I71))/6*2/3, AJ$24-$I71 =9, (7-(AJ$24-3-$I71))/6*1/3, TRUE, 0) *
IF(ISNUMBER(SEARCH("Ordinance",$L71)),7/6,1) *
IF(OR(ISNUMBER(SEARCH("Melee",$L71)),ISNUMBER(SEARCH("Bypass",$L71))),1.5,1)</f>
        <v>0.77777777777777768</v>
      </c>
      <c r="AK71" s="17" cm="1">
        <f t="array" ref="AK71">$H71 *
IF(ISNUMBER(SEARCH("Rapid",$L71)),7/6,1) *
IF(OR(ISNUMBER(SEARCH("Beam",$L71)),ISNUMBER(SEARCH("Firestorm",$L71))),1, IF(ISNUMBER(SEARCH("Blast",$L71)),(4+$G71+(2-$G71)*0.5)/6*2,(4+$G71)/6)) *
_xlfn.IFS(AK$24-$I71 &lt;=1, 5/6, AK$24-$I71 &lt;=5, (7-(AK$24-$I71))/6, AND(AK$24-$I71 =6,NOT(_xlfn.IFNA(ISNUMBER(SEARCH("Rending",$L71)),FALSE))), (7-(AK$24-$I71))/6, AND(AK$24-$I71 &gt;=7,NOT(_xlfn.IFNA(ISNUMBER(SEARCH("Rending",$L71)),FALSE))), 0, AK$24-$I71 =7, (7-(AK$24-1-$I71))/6, AK$24-$I71 =8, (7-(AK$24-2-$I71))/6*2/3, AK$24-$I71 =9, (7-(AK$24-3-$I71))/6*1/3, TRUE, 0) *
IF(ISNUMBER(SEARCH("Ordinance",$L71)),7/6,1) *
IF(OR(ISNUMBER(SEARCH("Melee",$L71)),ISNUMBER(SEARCH("Bypass",$L71))),1.5,1)</f>
        <v>0</v>
      </c>
      <c r="AL71" s="17" cm="1">
        <f t="array" ref="AL71">$H71 *
IF(ISNUMBER(SEARCH("Rapid",$L71)),7/6,1) *
IF(OR(ISNUMBER(SEARCH("Beam",$L71)),ISNUMBER(SEARCH("Firestorm",$L71))),1, IF(ISNUMBER(SEARCH("Blast",$L71)),(4+$G71+(2-$G71)*0.5)/6*2,(4+$G71)/6)) *
_xlfn.IFS(AL$24-$I71 &lt;=1, 5/6, AL$24-$I71 &lt;=5, (7-(AL$24-$I71))/6, AND(AL$24-$I71 =6,NOT(_xlfn.IFNA(ISNUMBER(SEARCH("Rending",$L71)),FALSE))), (7-(AL$24-$I71))/6, AND(AL$24-$I71 &gt;=7,NOT(_xlfn.IFNA(ISNUMBER(SEARCH("Rending",$L71)),FALSE))), 0, AL$24-$I71 =7, (7-(AL$24-1-$I71))/6, AL$24-$I71 =8, (7-(AL$24-2-$I71))/6*2/3, AL$24-$I71 =9, (7-(AL$24-3-$I71))/6*1/3, TRUE, 0) *
IF(ISNUMBER(SEARCH("Ordinance",$L71)),7/6,1) *
IF(OR(ISNUMBER(SEARCH("Melee",$L71)),ISNUMBER(SEARCH("Bypass",$L71))),1.5,1)</f>
        <v>0</v>
      </c>
      <c r="AM71" s="17" cm="1">
        <f t="array" ref="AM71">$H71 *
IF(ISNUMBER(SEARCH("Rapid",$L71)),7/6,1) *
IF(OR(ISNUMBER(SEARCH("Beam",$L71)),ISNUMBER(SEARCH("Firestorm",$L71))),1, IF(ISNUMBER(SEARCH("Blast",$L71)),(4+$G71+(2-$G71)*0.5)/6*2,(4+$G71)/6)) *
_xlfn.IFS(AM$24-$I71 &lt;=1, 5/6, AM$24-$I71 &lt;=5, (7-(AM$24-$I71))/6, AND(AM$24-$I71 =6,NOT(_xlfn.IFNA(ISNUMBER(SEARCH("Rending",$L71)),FALSE))), (7-(AM$24-$I71))/6, AND(AM$24-$I71 &gt;=7,NOT(_xlfn.IFNA(ISNUMBER(SEARCH("Rending",$L71)),FALSE))), 0, AM$24-$I71 =7, (7-(AM$24-1-$I71))/6, AM$24-$I71 =8, (7-(AM$24-2-$I71))/6*2/3, AM$24-$I71 =9, (7-(AM$24-3-$I71))/6*1/3, TRUE, 0) *
IF(ISNUMBER(SEARCH("Ordinance",$L71)),7/6,1) *
IF(OR(ISNUMBER(SEARCH("Melee",$L71)),ISNUMBER(SEARCH("Bypass",$L71))),1.5,1)</f>
        <v>0</v>
      </c>
      <c r="AN71" s="17" cm="1">
        <f t="array" ref="AN71">$H71 *
IF(ISNUMBER(SEARCH("Rapid",$L71)),7/6,1) *
IF(OR(ISNUMBER(SEARCH("Beam",$L71)),ISNUMBER(SEARCH("Firestorm",$L71))),1, IF(ISNUMBER(SEARCH("Blast",$L71)),(4+$G71+(2-$G71)*0.5)/6*2,(4+$G71)/6)) *
_xlfn.IFS(AN$24-$I71 &lt;=1, 5/6, AN$24-$I71 &lt;=5, (7-(AN$24-$I71))/6, AND(AN$24-$I71 =6,NOT(_xlfn.IFNA(ISNUMBER(SEARCH("Rending",$L71)),FALSE))), (7-(AN$24-$I71))/6, AND(AN$24-$I71 &gt;=7,NOT(_xlfn.IFNA(ISNUMBER(SEARCH("Rending",$L71)),FALSE))), 0, AN$24-$I71 =7, (7-(AN$24-1-$I71))/6, AN$24-$I71 =8, (7-(AN$24-2-$I71))/6*2/3, AN$24-$I71 =9, (7-(AN$24-3-$I71))/6*1/3, TRUE, 0) *
IF(ISNUMBER(SEARCH("Ordinance",$L71)),7/6,1) *
IF(OR(ISNUMBER(SEARCH("Melee",$L71)),ISNUMBER(SEARCH("Bypass",$L71))),1.5,1)</f>
        <v>0</v>
      </c>
      <c r="AO71" s="17" cm="1">
        <f t="array" ref="AO71">$H71 *
IF(ISNUMBER(SEARCH("Rapid",$L71)),7/6,1) *
IF(OR(ISNUMBER(SEARCH("Beam",$L71)),ISNUMBER(SEARCH("Firestorm",$L71))),1, IF(ISNUMBER(SEARCH("Blast",$L71)),(4+$G71+(2-$G71)*0.5)/6*2,(4+$G71)/6)) *
_xlfn.IFS(AO$24-$I71 &lt;=1, 5/6, AO$24-$I71 &lt;=5, (7-(AO$24-$I71))/6, AND(AO$24-$I71 =6,NOT(_xlfn.IFNA(ISNUMBER(SEARCH("Rending",$L71)),FALSE))), (7-(AO$24-$I71))/6, AND(AO$24-$I71 &gt;=7,NOT(_xlfn.IFNA(ISNUMBER(SEARCH("Rending",$L71)),FALSE))), 0, AO$24-$I71 =7, (7-(AO$24-1-$I71))/6, AO$24-$I71 =8, (7-(AO$24-2-$I71))/6*2/3, AO$24-$I71 =9, (7-(AO$24-3-$I71))/6*1/3, TRUE, 0) *
IF(ISNUMBER(SEARCH("Ordinance",$L71)),7/6,1) *
IF(OR(ISNUMBER(SEARCH("Melee",$L71)),ISNUMBER(SEARCH("Bypass",$L71))),1.5,1)</f>
        <v>0</v>
      </c>
      <c r="AP71" s="17" cm="1">
        <f t="array" ref="AP71">$H71 *
IF(ISNUMBER(SEARCH("Rapid",$L71)),7/6,1) *
IF(OR(ISNUMBER(SEARCH("Beam",$L71)),ISNUMBER(SEARCH("Firestorm",$L71))),1, IF(ISNUMBER(SEARCH("Blast",$L71)),(4+$G71+(2-$G71)*0.5)/6*2,(4+$G71)/6)) *
_xlfn.IFS(AP$24-$I71 &lt;=1, 5/6, AP$24-$I71 &lt;=5, (7-(AP$24-$I71))/6, AND(AP$24-$I71 =6,NOT(_xlfn.IFNA(ISNUMBER(SEARCH("Rending",$L71)),FALSE))), (7-(AP$24-$I71))/6, AND(AP$24-$I71 &gt;=7,NOT(_xlfn.IFNA(ISNUMBER(SEARCH("Rending",$L71)),FALSE))), 0, AP$24-$I71 =7, (7-(AP$24-1-$I71))/6, AP$24-$I71 =8, (7-(AP$24-2-$I71))/6*2/3, AP$24-$I71 =9, (7-(AP$24-3-$I71))/6*1/3, TRUE, 0) *
IF(ISNUMBER(SEARCH("Ordinance",$L71)),7/6,1) *
IF(OR(ISNUMBER(SEARCH("Melee",$L71)),ISNUMBER(SEARCH("Bypass",$L71))),1.5,1)</f>
        <v>0</v>
      </c>
      <c r="AQ71" s="17" cm="1">
        <f t="array" ref="AQ71">$H71 *
IF(ISNUMBER(SEARCH("Rapid",$L71)),7/6,1) *
IF(OR(ISNUMBER(SEARCH("Beam",$L71)),ISNUMBER(SEARCH("Firestorm",$L71))),1, IF(ISNUMBER(SEARCH("Blast",$L71)),(4+$G71+(2-$G71)*0.5)/6*2,(4+$G71)/6)) *
_xlfn.IFS(AQ$24-$I71 &lt;=1, 5/6, AQ$24-$I71 &lt;=5, (7-(AQ$24-$I71))/6, AND(AQ$24-$I71 =6,NOT(_xlfn.IFNA(ISNUMBER(SEARCH("Rending",$L71)),FALSE))), (7-(AQ$24-$I71))/6, AND(AQ$24-$I71 &gt;=7,NOT(_xlfn.IFNA(ISNUMBER(SEARCH("Rending",$L71)),FALSE))), 0, AQ$24-$I71 =7, (7-(AQ$24-1-$I71))/6, AQ$24-$I71 =8, (7-(AQ$24-2-$I71))/6*2/3, AQ$24-$I71 =9, (7-(AQ$24-3-$I71))/6*1/3, TRUE, 0) *
IF(ISNUMBER(SEARCH("Ordinance",$L71)),7/6,1) *
IF(OR(ISNUMBER(SEARCH("Melee",$L71)),ISNUMBER(SEARCH("Bypass",$L71))),1.5,1)</f>
        <v>0</v>
      </c>
      <c r="AS71" s="16">
        <f t="shared" si="11"/>
        <v>1.5555555555555554</v>
      </c>
      <c r="AT71" s="16">
        <f t="shared" si="12"/>
        <v>2.333333333333333</v>
      </c>
      <c r="AU71" s="16">
        <f t="shared" si="9"/>
        <v>0.89444444444444438</v>
      </c>
      <c r="AV71" s="2">
        <v>9</v>
      </c>
    </row>
    <row r="72" spans="1:48" x14ac:dyDescent="0.3">
      <c r="A72" t="s">
        <v>300</v>
      </c>
      <c r="B72" s="3">
        <v>8</v>
      </c>
      <c r="C72" s="3">
        <v>20</v>
      </c>
      <c r="D72" s="3">
        <v>1</v>
      </c>
      <c r="E72" s="3">
        <v>1</v>
      </c>
      <c r="F72" s="10">
        <v>1</v>
      </c>
      <c r="G72" s="10">
        <v>-1</v>
      </c>
      <c r="H72" s="3">
        <v>6</v>
      </c>
      <c r="I72" s="3">
        <v>6</v>
      </c>
      <c r="J72" s="3" t="s">
        <v>215</v>
      </c>
      <c r="K72" s="3">
        <v>35</v>
      </c>
      <c r="L72" s="3" t="s">
        <v>303</v>
      </c>
      <c r="M72" s="3" t="s">
        <v>225</v>
      </c>
      <c r="N72" s="3">
        <v>10</v>
      </c>
      <c r="O72" s="3">
        <v>10</v>
      </c>
      <c r="P72" s="3">
        <v>14</v>
      </c>
      <c r="Q72" s="3" t="s">
        <v>200</v>
      </c>
      <c r="R72" s="3">
        <v>7</v>
      </c>
      <c r="S72" s="3">
        <v>9</v>
      </c>
      <c r="T72" s="3">
        <v>3</v>
      </c>
      <c r="U72" t="s">
        <v>302</v>
      </c>
      <c r="V72" s="16">
        <f t="shared" si="20"/>
        <v>1.9444444444444446</v>
      </c>
      <c r="W72" s="16">
        <f t="shared" si="21"/>
        <v>2.916666666666667</v>
      </c>
      <c r="X72" s="17" cm="1">
        <f t="array" ref="X72">$H72 *
IF(ISNUMBER(SEARCH("Rapid",$L72)),7/6,1) *
IF(OR(ISNUMBER(SEARCH("Beam",$L72)),ISNUMBER(SEARCH("Firestorm",$L72))),1, IF(ISNUMBER(SEARCH("Blast",$L72)),(4+$F72+(2-$F72)*0.5)/6*2,(4+$F72)/6)) *
IF(ISNUMBER(SEARCH("Fusion",$L72)), _xlfn.IFS(X$24-$I72 &lt;=1, 9/10, X$24-$I72 &lt;=10,(11-(X$24-$I72))/10, X$24-$I72 &gt;=11, 0),
_xlfn.IFS(X$24-$I72 &lt;=1, 5/6, X$24-$I72 &lt;=5, (7-(X$24-$I72))/6, AND(X$24-$I72 =6,NOT(_xlfn.IFNA(ISNUMBER(SEARCH("Rending",$L72)),FALSE))), (7-(X$24-$I72))/6, AND(X$24-$I72 &gt;=7,NOT(_xlfn.IFNA(ISNUMBER(SEARCH("Rending",$L72)),FALSE))), 0, X$24-$I72 =7, (7-(X$24-1-$I72))/6, X$24-$I72 =8, (7-(X$24-2-$I72))/6*2/3, X$24-$I72 =9, (7-(X$24-3-$I72))/6*1/3, TRUE, 0)) *
IF(ISNUMBER(SEARCH("Ordinance",$L72)),7/6,1) *
IF(OR(ISNUMBER(SEARCH("Melee",$L72)),ISNUMBER(SEARCH("Bypass",$L72))),1.5,1)</f>
        <v>3.8888888888888893</v>
      </c>
      <c r="Y72" s="17" cm="1">
        <f t="array" ref="Y72">$H72 *
IF(ISNUMBER(SEARCH("Rapid",$L72)),7/6,1) *
IF(OR(ISNUMBER(SEARCH("Beam",$L72)),ISNUMBER(SEARCH("Firestorm",$L72))),1, IF(ISNUMBER(SEARCH("Blast",$L72)),(4+$F72+(2-$F72)*0.5)/6*2,(4+$F72)/6)) *
IF(ISNUMBER(SEARCH("Fusion",$L72)), _xlfn.IFS(Y$24-$I72 &lt;=1, 9/10, Y$24-$I72 &lt;=10,(11-(Y$24-$I72))/10, Y$24-$I72 &gt;=11, 0),
_xlfn.IFS(Y$24-$I72 &lt;=1, 5/6, Y$24-$I72 &lt;=5, (7-(Y$24-$I72))/6, AND(Y$24-$I72 =6,NOT(_xlfn.IFNA(ISNUMBER(SEARCH("Rending",$L72)),FALSE))), (7-(Y$24-$I72))/6, AND(Y$24-$I72 &gt;=7,NOT(_xlfn.IFNA(ISNUMBER(SEARCH("Rending",$L72)),FALSE))), 0, Y$24-$I72 =7, (7-(Y$24-1-$I72))/6, Y$24-$I72 =8, (7-(Y$24-2-$I72))/6*2/3, Y$24-$I72 =9, (7-(Y$24-3-$I72))/6*1/3, TRUE, 0)) *
IF(ISNUMBER(SEARCH("Ordinance",$L72)),7/6,1) *
IF(OR(ISNUMBER(SEARCH("Melee",$L72)),ISNUMBER(SEARCH("Bypass",$L72))),1.5,1)</f>
        <v>2.916666666666667</v>
      </c>
      <c r="Z72" s="17" cm="1">
        <f t="array" ref="Z72">$H72 *
IF(ISNUMBER(SEARCH("Rapid",$L72)),7/6,1) *
IF(OR(ISNUMBER(SEARCH("Beam",$L72)),ISNUMBER(SEARCH("Firestorm",$L72))),1, IF(ISNUMBER(SEARCH("Blast",$L72)),(4+$F72+(2-$F72)*0.5)/6*2,(4+$F72)/6)) *
IF(ISNUMBER(SEARCH("Fusion",$L72)), _xlfn.IFS(Z$24-$I72 &lt;=1, 9/10, Z$24-$I72 &lt;=10,(11-(Z$24-$I72))/10, Z$24-$I72 &gt;=11, 0),
_xlfn.IFS(Z$24-$I72 &lt;=1, 5/6, Z$24-$I72 &lt;=5, (7-(Z$24-$I72))/6, AND(Z$24-$I72 =6,NOT(_xlfn.IFNA(ISNUMBER(SEARCH("Rending",$L72)),FALSE))), (7-(Z$24-$I72))/6, AND(Z$24-$I72 &gt;=7,NOT(_xlfn.IFNA(ISNUMBER(SEARCH("Rending",$L72)),FALSE))), 0, Z$24-$I72 =7, (7-(Z$24-1-$I72))/6, Z$24-$I72 =8, (7-(Z$24-2-$I72))/6*2/3, Z$24-$I72 =9, (7-(Z$24-3-$I72))/6*1/3, TRUE, 0)) *
IF(ISNUMBER(SEARCH("Ordinance",$L72)),7/6,1) *
IF(OR(ISNUMBER(SEARCH("Melee",$L72)),ISNUMBER(SEARCH("Bypass",$L72))),1.5,1)</f>
        <v>1.9444444444444446</v>
      </c>
      <c r="AA72" s="17" cm="1">
        <f t="array" ref="AA72">$H72 *
IF(ISNUMBER(SEARCH("Rapid",$L72)),7/6,1) *
IF(OR(ISNUMBER(SEARCH("Beam",$L72)),ISNUMBER(SEARCH("Firestorm",$L72))),1, IF(ISNUMBER(SEARCH("Blast",$L72)),(4+$F72+(2-$F72)*0.5)/6*2,(4+$F72)/6)) *
IF(ISNUMBER(SEARCH("Fusion",$L72)), _xlfn.IFS(AA$24-$I72 &lt;=1, 9/10, AA$24-$I72 &lt;=10,(11-(AA$24-$I72))/10, AA$24-$I72 &gt;=11, 0),
_xlfn.IFS(AA$24-$I72 &lt;=1, 5/6, AA$24-$I72 &lt;=5, (7-(AA$24-$I72))/6, AND(AA$24-$I72 =6,NOT(_xlfn.IFNA(ISNUMBER(SEARCH("Rending",$L72)),FALSE))), (7-(AA$24-$I72))/6, AND(AA$24-$I72 &gt;=7,NOT(_xlfn.IFNA(ISNUMBER(SEARCH("Rending",$L72)),FALSE))), 0, AA$24-$I72 =7, (7-(AA$24-1-$I72))/6, AA$24-$I72 =8, (7-(AA$24-2-$I72))/6*2/3, AA$24-$I72 =9, (7-(AA$24-3-$I72))/6*1/3, TRUE, 0)) *
IF(ISNUMBER(SEARCH("Ordinance",$L72)),7/6,1) *
IF(OR(ISNUMBER(SEARCH("Melee",$L72)),ISNUMBER(SEARCH("Bypass",$L72))),1.5,1)</f>
        <v>0.97222222222222232</v>
      </c>
      <c r="AB72" s="17" cm="1">
        <f t="array" ref="AB72">$H72 *
IF(ISNUMBER(SEARCH("Rapid",$L72)),7/6,1) *
IF(OR(ISNUMBER(SEARCH("Beam",$L72)),ISNUMBER(SEARCH("Firestorm",$L72))),1, IF(ISNUMBER(SEARCH("Blast",$L72)),(4+$F72+(2-$F72)*0.5)/6*2,(4+$F72)/6)) *
IF(ISNUMBER(SEARCH("Fusion",$L72)), _xlfn.IFS(AB$24-$I72 &lt;=1, 9/10, AB$24-$I72 &lt;=10,(11-(AB$24-$I72))/10, AB$24-$I72 &gt;=11, 0),
_xlfn.IFS(AB$24-$I72 &lt;=1, 5/6, AB$24-$I72 &lt;=5, (7-(AB$24-$I72))/6, AND(AB$24-$I72 =6,NOT(_xlfn.IFNA(ISNUMBER(SEARCH("Rending",$L72)),FALSE))), (7-(AB$24-$I72))/6, AND(AB$24-$I72 &gt;=7,NOT(_xlfn.IFNA(ISNUMBER(SEARCH("Rending",$L72)),FALSE))), 0, AB$24-$I72 =7, (7-(AB$24-1-$I72))/6, AB$24-$I72 =8, (7-(AB$24-2-$I72))/6*2/3, AB$24-$I72 =9, (7-(AB$24-3-$I72))/6*1/3, TRUE, 0)) *
IF(ISNUMBER(SEARCH("Ordinance",$L72)),7/6,1) *
IF(OR(ISNUMBER(SEARCH("Melee",$L72)),ISNUMBER(SEARCH("Bypass",$L72))),1.5,1)</f>
        <v>0</v>
      </c>
      <c r="AC72" s="17" cm="1">
        <f t="array" ref="AC72">$H72 *
IF(ISNUMBER(SEARCH("Rapid",$L72)),7/6,1) *
IF(OR(ISNUMBER(SEARCH("Beam",$L72)),ISNUMBER(SEARCH("Firestorm",$L72))),1, IF(ISNUMBER(SEARCH("Blast",$L72)),(4+$F72+(2-$F72)*0.5)/6*2,(4+$F72)/6)) *
IF(ISNUMBER(SEARCH("Fusion",$L72)), _xlfn.IFS(AC$24-$I72 &lt;=1, 9/10, AC$24-$I72 &lt;=10,(11-(AC$24-$I72))/10, AC$24-$I72 &gt;=11, 0),
_xlfn.IFS(AC$24-$I72 &lt;=1, 5/6, AC$24-$I72 &lt;=5, (7-(AC$24-$I72))/6, AND(AC$24-$I72 =6,NOT(_xlfn.IFNA(ISNUMBER(SEARCH("Rending",$L72)),FALSE))), (7-(AC$24-$I72))/6, AND(AC$24-$I72 &gt;=7,NOT(_xlfn.IFNA(ISNUMBER(SEARCH("Rending",$L72)),FALSE))), 0, AC$24-$I72 =7, (7-(AC$24-1-$I72))/6, AC$24-$I72 =8, (7-(AC$24-2-$I72))/6*2/3, AC$24-$I72 =9, (7-(AC$24-3-$I72))/6*1/3, TRUE, 0)) *
IF(ISNUMBER(SEARCH("Ordinance",$L72)),7/6,1) *
IF(OR(ISNUMBER(SEARCH("Melee",$L72)),ISNUMBER(SEARCH("Bypass",$L72))),1.5,1)</f>
        <v>0</v>
      </c>
      <c r="AD72" s="17" cm="1">
        <f t="array" ref="AD72">$H72 *
IF(ISNUMBER(SEARCH("Rapid",$L72)),7/6,1) *
IF(OR(ISNUMBER(SEARCH("Beam",$L72)),ISNUMBER(SEARCH("Firestorm",$L72))),1, IF(ISNUMBER(SEARCH("Blast",$L72)),(4+$F72+(2-$F72)*0.5)/6*2,(4+$F72)/6)) *
IF(ISNUMBER(SEARCH("Fusion",$L72)), _xlfn.IFS(AD$24-$I72 &lt;=1, 9/10, AD$24-$I72 &lt;=10,(11-(AD$24-$I72))/10, AD$24-$I72 &gt;=11, 0),
_xlfn.IFS(AD$24-$I72 &lt;=1, 5/6, AD$24-$I72 &lt;=5, (7-(AD$24-$I72))/6, AND(AD$24-$I72 =6,NOT(_xlfn.IFNA(ISNUMBER(SEARCH("Rending",$L72)),FALSE))), (7-(AD$24-$I72))/6, AND(AD$24-$I72 &gt;=7,NOT(_xlfn.IFNA(ISNUMBER(SEARCH("Rending",$L72)),FALSE))), 0, AD$24-$I72 =7, (7-(AD$24-1-$I72))/6, AD$24-$I72 =8, (7-(AD$24-2-$I72))/6*2/3, AD$24-$I72 =9, (7-(AD$24-3-$I72))/6*1/3, TRUE, 0)) *
IF(ISNUMBER(SEARCH("Ordinance",$L72)),7/6,1) *
IF(OR(ISNUMBER(SEARCH("Melee",$L72)),ISNUMBER(SEARCH("Bypass",$L72))),1.5,1)</f>
        <v>0</v>
      </c>
      <c r="AE72" s="17" cm="1">
        <f t="array" ref="AE72">$H72 *
IF(ISNUMBER(SEARCH("Rapid",$L72)),7/6,1) *
IF(OR(ISNUMBER(SEARCH("Beam",$L72)),ISNUMBER(SEARCH("Firestorm",$L72))),1, IF(ISNUMBER(SEARCH("Blast",$L72)),(4+$F72+(2-$F72)*0.5)/6*2,(4+$F72)/6)) *
IF(ISNUMBER(SEARCH("Fusion",$L72)), _xlfn.IFS(AE$24-$I72 &lt;=1, 9/10, AE$24-$I72 &lt;=10,(11-(AE$24-$I72))/10, AE$24-$I72 &gt;=11, 0),
_xlfn.IFS(AE$24-$I72 &lt;=1, 5/6, AE$24-$I72 &lt;=5, (7-(AE$24-$I72))/6, AND(AE$24-$I72 =6,NOT(_xlfn.IFNA(ISNUMBER(SEARCH("Rending",$L72)),FALSE))), (7-(AE$24-$I72))/6, AND(AE$24-$I72 &gt;=7,NOT(_xlfn.IFNA(ISNUMBER(SEARCH("Rending",$L72)),FALSE))), 0, AE$24-$I72 =7, (7-(AE$24-1-$I72))/6, AE$24-$I72 =8, (7-(AE$24-2-$I72))/6*2/3, AE$24-$I72 =9, (7-(AE$24-3-$I72))/6*1/3, TRUE, 0)) *
IF(ISNUMBER(SEARCH("Ordinance",$L72)),7/6,1) *
IF(OR(ISNUMBER(SEARCH("Melee",$L72)),ISNUMBER(SEARCH("Bypass",$L72))),1.5,1)</f>
        <v>0</v>
      </c>
      <c r="AF72" s="17" cm="1">
        <f t="array" ref="AF72">$H72 *
IF(ISNUMBER(SEARCH("Rapid",$L72)),7/6,1) *
IF(OR(ISNUMBER(SEARCH("Beam",$L72)),ISNUMBER(SEARCH("Firestorm",$L72))),1, IF(ISNUMBER(SEARCH("Blast",$L72)),(4+$F72+(2-$F72)*0.5)/6*2,(4+$F72)/6)) *
IF(ISNUMBER(SEARCH("Fusion",$L72)), _xlfn.IFS(AF$24-$I72 &lt;=1, 9/10, AF$24-$I72 &lt;=10,(11-(AF$24-$I72))/10, AF$24-$I72 &gt;=11, 0),
_xlfn.IFS(AF$24-$I72 &lt;=1, 5/6, AF$24-$I72 &lt;=5, (7-(AF$24-$I72))/6, AND(AF$24-$I72 =6,NOT(_xlfn.IFNA(ISNUMBER(SEARCH("Rending",$L72)),FALSE))), (7-(AF$24-$I72))/6, AND(AF$24-$I72 &gt;=7,NOT(_xlfn.IFNA(ISNUMBER(SEARCH("Rending",$L72)),FALSE))), 0, AF$24-$I72 =7, (7-(AF$24-1-$I72))/6, AF$24-$I72 =8, (7-(AF$24-2-$I72))/6*2/3, AF$24-$I72 =9, (7-(AF$24-3-$I72))/6*1/3, TRUE, 0)) *
IF(ISNUMBER(SEARCH("Ordinance",$L72)),7/6,1) *
IF(OR(ISNUMBER(SEARCH("Melee",$L72)),ISNUMBER(SEARCH("Bypass",$L72))),1.5,1)</f>
        <v>0</v>
      </c>
      <c r="AG72" s="16">
        <f t="shared" si="22"/>
        <v>1.1666666666666665</v>
      </c>
      <c r="AH72" s="16">
        <f t="shared" si="23"/>
        <v>1.75</v>
      </c>
      <c r="AI72" s="17" cm="1">
        <f t="array" ref="AI72">$H72 *
IF(ISNUMBER(SEARCH("Rapid",$L72)),7/6,1) *
IF(OR(ISNUMBER(SEARCH("Beam",$L72)),ISNUMBER(SEARCH("Firestorm",$L72))),1, IF(ISNUMBER(SEARCH("Blast",$L72)),(4+$G72+(2-$G72)*0.5)/6*2,(4+$G72)/6)) *
_xlfn.IFS(AI$24-$I72 &lt;=1, 5/6, AI$24-$I72 &lt;=5, (7-(AI$24-$I72))/6, AND(AI$24-$I72 =6,NOT(_xlfn.IFNA(ISNUMBER(SEARCH("Rending",$L72)),FALSE))), (7-(AI$24-$I72))/6, AND(AI$24-$I72 &gt;=7,NOT(_xlfn.IFNA(ISNUMBER(SEARCH("Rending",$L72)),FALSE))), 0, AI$24-$I72 =7, (7-(AI$24-1-$I72))/6, AI$24-$I72 =8, (7-(AI$24-2-$I72))/6*2/3, AI$24-$I72 =9, (7-(AI$24-3-$I72))/6*1/3, TRUE, 0) *
IF(ISNUMBER(SEARCH("Ordinance",$L72)),7/6,1) *
IF(OR(ISNUMBER(SEARCH("Melee",$L72)),ISNUMBER(SEARCH("Bypass",$L72))),1.5,1)</f>
        <v>2.333333333333333</v>
      </c>
      <c r="AJ72" s="17" cm="1">
        <f t="array" ref="AJ72">$H72 *
IF(ISNUMBER(SEARCH("Rapid",$L72)),7/6,1) *
IF(OR(ISNUMBER(SEARCH("Beam",$L72)),ISNUMBER(SEARCH("Firestorm",$L72))),1, IF(ISNUMBER(SEARCH("Blast",$L72)),(4+$G72+(2-$G72)*0.5)/6*2,(4+$G72)/6)) *
_xlfn.IFS(AJ$24-$I72 &lt;=1, 5/6, AJ$24-$I72 &lt;=5, (7-(AJ$24-$I72))/6, AND(AJ$24-$I72 =6,NOT(_xlfn.IFNA(ISNUMBER(SEARCH("Rending",$L72)),FALSE))), (7-(AJ$24-$I72))/6, AND(AJ$24-$I72 &gt;=7,NOT(_xlfn.IFNA(ISNUMBER(SEARCH("Rending",$L72)),FALSE))), 0, AJ$24-$I72 =7, (7-(AJ$24-1-$I72))/6, AJ$24-$I72 =8, (7-(AJ$24-2-$I72))/6*2/3, AJ$24-$I72 =9, (7-(AJ$24-3-$I72))/6*1/3, TRUE, 0) *
IF(ISNUMBER(SEARCH("Ordinance",$L72)),7/6,1) *
IF(OR(ISNUMBER(SEARCH("Melee",$L72)),ISNUMBER(SEARCH("Bypass",$L72))),1.5,1)</f>
        <v>1.75</v>
      </c>
      <c r="AK72" s="17" cm="1">
        <f t="array" ref="AK72">$H72 *
IF(ISNUMBER(SEARCH("Rapid",$L72)),7/6,1) *
IF(OR(ISNUMBER(SEARCH("Beam",$L72)),ISNUMBER(SEARCH("Firestorm",$L72))),1, IF(ISNUMBER(SEARCH("Blast",$L72)),(4+$G72+(2-$G72)*0.5)/6*2,(4+$G72)/6)) *
_xlfn.IFS(AK$24-$I72 &lt;=1, 5/6, AK$24-$I72 &lt;=5, (7-(AK$24-$I72))/6, AND(AK$24-$I72 =6,NOT(_xlfn.IFNA(ISNUMBER(SEARCH("Rending",$L72)),FALSE))), (7-(AK$24-$I72))/6, AND(AK$24-$I72 &gt;=7,NOT(_xlfn.IFNA(ISNUMBER(SEARCH("Rending",$L72)),FALSE))), 0, AK$24-$I72 =7, (7-(AK$24-1-$I72))/6, AK$24-$I72 =8, (7-(AK$24-2-$I72))/6*2/3, AK$24-$I72 =9, (7-(AK$24-3-$I72))/6*1/3, TRUE, 0) *
IF(ISNUMBER(SEARCH("Ordinance",$L72)),7/6,1) *
IF(OR(ISNUMBER(SEARCH("Melee",$L72)),ISNUMBER(SEARCH("Bypass",$L72))),1.5,1)</f>
        <v>1.1666666666666665</v>
      </c>
      <c r="AL72" s="17" cm="1">
        <f t="array" ref="AL72">$H72 *
IF(ISNUMBER(SEARCH("Rapid",$L72)),7/6,1) *
IF(OR(ISNUMBER(SEARCH("Beam",$L72)),ISNUMBER(SEARCH("Firestorm",$L72))),1, IF(ISNUMBER(SEARCH("Blast",$L72)),(4+$G72+(2-$G72)*0.5)/6*2,(4+$G72)/6)) *
_xlfn.IFS(AL$24-$I72 &lt;=1, 5/6, AL$24-$I72 &lt;=5, (7-(AL$24-$I72))/6, AND(AL$24-$I72 =6,NOT(_xlfn.IFNA(ISNUMBER(SEARCH("Rending",$L72)),FALSE))), (7-(AL$24-$I72))/6, AND(AL$24-$I72 &gt;=7,NOT(_xlfn.IFNA(ISNUMBER(SEARCH("Rending",$L72)),FALSE))), 0, AL$24-$I72 =7, (7-(AL$24-1-$I72))/6, AL$24-$I72 =8, (7-(AL$24-2-$I72))/6*2/3, AL$24-$I72 =9, (7-(AL$24-3-$I72))/6*1/3, TRUE, 0) *
IF(ISNUMBER(SEARCH("Ordinance",$L72)),7/6,1) *
IF(OR(ISNUMBER(SEARCH("Melee",$L72)),ISNUMBER(SEARCH("Bypass",$L72))),1.5,1)</f>
        <v>0.58333333333333326</v>
      </c>
      <c r="AM72" s="17" cm="1">
        <f t="array" ref="AM72">$H72 *
IF(ISNUMBER(SEARCH("Rapid",$L72)),7/6,1) *
IF(OR(ISNUMBER(SEARCH("Beam",$L72)),ISNUMBER(SEARCH("Firestorm",$L72))),1, IF(ISNUMBER(SEARCH("Blast",$L72)),(4+$G72+(2-$G72)*0.5)/6*2,(4+$G72)/6)) *
_xlfn.IFS(AM$24-$I72 &lt;=1, 5/6, AM$24-$I72 &lt;=5, (7-(AM$24-$I72))/6, AND(AM$24-$I72 =6,NOT(_xlfn.IFNA(ISNUMBER(SEARCH("Rending",$L72)),FALSE))), (7-(AM$24-$I72))/6, AND(AM$24-$I72 &gt;=7,NOT(_xlfn.IFNA(ISNUMBER(SEARCH("Rending",$L72)),FALSE))), 0, AM$24-$I72 =7, (7-(AM$24-1-$I72))/6, AM$24-$I72 =8, (7-(AM$24-2-$I72))/6*2/3, AM$24-$I72 =9, (7-(AM$24-3-$I72))/6*1/3, TRUE, 0) *
IF(ISNUMBER(SEARCH("Ordinance",$L72)),7/6,1) *
IF(OR(ISNUMBER(SEARCH("Melee",$L72)),ISNUMBER(SEARCH("Bypass",$L72))),1.5,1)</f>
        <v>0</v>
      </c>
      <c r="AN72" s="17" cm="1">
        <f t="array" ref="AN72">$H72 *
IF(ISNUMBER(SEARCH("Rapid",$L72)),7/6,1) *
IF(OR(ISNUMBER(SEARCH("Beam",$L72)),ISNUMBER(SEARCH("Firestorm",$L72))),1, IF(ISNUMBER(SEARCH("Blast",$L72)),(4+$G72+(2-$G72)*0.5)/6*2,(4+$G72)/6)) *
_xlfn.IFS(AN$24-$I72 &lt;=1, 5/6, AN$24-$I72 &lt;=5, (7-(AN$24-$I72))/6, AND(AN$24-$I72 =6,NOT(_xlfn.IFNA(ISNUMBER(SEARCH("Rending",$L72)),FALSE))), (7-(AN$24-$I72))/6, AND(AN$24-$I72 &gt;=7,NOT(_xlfn.IFNA(ISNUMBER(SEARCH("Rending",$L72)),FALSE))), 0, AN$24-$I72 =7, (7-(AN$24-1-$I72))/6, AN$24-$I72 =8, (7-(AN$24-2-$I72))/6*2/3, AN$24-$I72 =9, (7-(AN$24-3-$I72))/6*1/3, TRUE, 0) *
IF(ISNUMBER(SEARCH("Ordinance",$L72)),7/6,1) *
IF(OR(ISNUMBER(SEARCH("Melee",$L72)),ISNUMBER(SEARCH("Bypass",$L72))),1.5,1)</f>
        <v>0</v>
      </c>
      <c r="AO72" s="17" cm="1">
        <f t="array" ref="AO72">$H72 *
IF(ISNUMBER(SEARCH("Rapid",$L72)),7/6,1) *
IF(OR(ISNUMBER(SEARCH("Beam",$L72)),ISNUMBER(SEARCH("Firestorm",$L72))),1, IF(ISNUMBER(SEARCH("Blast",$L72)),(4+$G72+(2-$G72)*0.5)/6*2,(4+$G72)/6)) *
_xlfn.IFS(AO$24-$I72 &lt;=1, 5/6, AO$24-$I72 &lt;=5, (7-(AO$24-$I72))/6, AND(AO$24-$I72 =6,NOT(_xlfn.IFNA(ISNUMBER(SEARCH("Rending",$L72)),FALSE))), (7-(AO$24-$I72))/6, AND(AO$24-$I72 &gt;=7,NOT(_xlfn.IFNA(ISNUMBER(SEARCH("Rending",$L72)),FALSE))), 0, AO$24-$I72 =7, (7-(AO$24-1-$I72))/6, AO$24-$I72 =8, (7-(AO$24-2-$I72))/6*2/3, AO$24-$I72 =9, (7-(AO$24-3-$I72))/6*1/3, TRUE, 0) *
IF(ISNUMBER(SEARCH("Ordinance",$L72)),7/6,1) *
IF(OR(ISNUMBER(SEARCH("Melee",$L72)),ISNUMBER(SEARCH("Bypass",$L72))),1.5,1)</f>
        <v>0</v>
      </c>
      <c r="AP72" s="17" cm="1">
        <f t="array" ref="AP72">$H72 *
IF(ISNUMBER(SEARCH("Rapid",$L72)),7/6,1) *
IF(OR(ISNUMBER(SEARCH("Beam",$L72)),ISNUMBER(SEARCH("Firestorm",$L72))),1, IF(ISNUMBER(SEARCH("Blast",$L72)),(4+$G72+(2-$G72)*0.5)/6*2,(4+$G72)/6)) *
_xlfn.IFS(AP$24-$I72 &lt;=1, 5/6, AP$24-$I72 &lt;=5, (7-(AP$24-$I72))/6, AND(AP$24-$I72 =6,NOT(_xlfn.IFNA(ISNUMBER(SEARCH("Rending",$L72)),FALSE))), (7-(AP$24-$I72))/6, AND(AP$24-$I72 &gt;=7,NOT(_xlfn.IFNA(ISNUMBER(SEARCH("Rending",$L72)),FALSE))), 0, AP$24-$I72 =7, (7-(AP$24-1-$I72))/6, AP$24-$I72 =8, (7-(AP$24-2-$I72))/6*2/3, AP$24-$I72 =9, (7-(AP$24-3-$I72))/6*1/3, TRUE, 0) *
IF(ISNUMBER(SEARCH("Ordinance",$L72)),7/6,1) *
IF(OR(ISNUMBER(SEARCH("Melee",$L72)),ISNUMBER(SEARCH("Bypass",$L72))),1.5,1)</f>
        <v>0</v>
      </c>
      <c r="AQ72" s="17" cm="1">
        <f t="array" ref="AQ72">$H72 *
IF(ISNUMBER(SEARCH("Rapid",$L72)),7/6,1) *
IF(OR(ISNUMBER(SEARCH("Beam",$L72)),ISNUMBER(SEARCH("Firestorm",$L72))),1, IF(ISNUMBER(SEARCH("Blast",$L72)),(4+$G72+(2-$G72)*0.5)/6*2,(4+$G72)/6)) *
_xlfn.IFS(AQ$24-$I72 &lt;=1, 5/6, AQ$24-$I72 &lt;=5, (7-(AQ$24-$I72))/6, AND(AQ$24-$I72 =6,NOT(_xlfn.IFNA(ISNUMBER(SEARCH("Rending",$L72)),FALSE))), (7-(AQ$24-$I72))/6, AND(AQ$24-$I72 &gt;=7,NOT(_xlfn.IFNA(ISNUMBER(SEARCH("Rending",$L72)),FALSE))), 0, AQ$24-$I72 =7, (7-(AQ$24-1-$I72))/6, AQ$24-$I72 =8, (7-(AQ$24-2-$I72))/6*2/3, AQ$24-$I72 =9, (7-(AQ$24-3-$I72))/6*1/3, TRUE, 0) *
IF(ISNUMBER(SEARCH("Ordinance",$L72)),7/6,1) *
IF(OR(ISNUMBER(SEARCH("Melee",$L72)),ISNUMBER(SEARCH("Bypass",$L72))),1.5,1)</f>
        <v>0</v>
      </c>
      <c r="AS72" s="16">
        <f t="shared" si="11"/>
        <v>1.1666666666666665</v>
      </c>
      <c r="AT72" s="16">
        <f t="shared" si="12"/>
        <v>1.75</v>
      </c>
      <c r="AU72" s="16">
        <f t="shared" si="9"/>
        <v>1.5685185185185186</v>
      </c>
      <c r="AV72" s="2">
        <v>9</v>
      </c>
    </row>
    <row r="73" spans="1:48" x14ac:dyDescent="0.3">
      <c r="A73" t="s">
        <v>179</v>
      </c>
      <c r="B73" s="3">
        <v>12</v>
      </c>
      <c r="C73" s="3">
        <v>20</v>
      </c>
      <c r="D73" s="3">
        <v>1</v>
      </c>
      <c r="E73" s="3">
        <v>1</v>
      </c>
      <c r="F73" s="10"/>
      <c r="G73" s="10">
        <v>-1</v>
      </c>
      <c r="H73" s="3">
        <v>3</v>
      </c>
      <c r="I73" s="3">
        <v>5</v>
      </c>
      <c r="J73" s="3" t="s">
        <v>215</v>
      </c>
      <c r="K73" s="3">
        <v>20</v>
      </c>
      <c r="L73" s="3" t="s">
        <v>626</v>
      </c>
      <c r="M73" s="3" t="s">
        <v>225</v>
      </c>
      <c r="N73" s="3">
        <v>10</v>
      </c>
      <c r="O73" s="3">
        <v>10</v>
      </c>
      <c r="P73" s="3">
        <v>14</v>
      </c>
      <c r="Q73" s="3" t="s">
        <v>200</v>
      </c>
      <c r="R73" s="3">
        <v>7</v>
      </c>
      <c r="S73" s="3">
        <v>9</v>
      </c>
      <c r="T73" s="3">
        <v>2</v>
      </c>
      <c r="V73" s="16">
        <f t="shared" si="20"/>
        <v>1.63</v>
      </c>
      <c r="W73" s="16">
        <f t="shared" si="21"/>
        <v>2.4449999999999998</v>
      </c>
      <c r="X73" s="17" cm="1">
        <f t="array" ref="X73">$H73 *
IF(ISNUMBER(SEARCH("Rapid",$L73)),7/6,1) *
IF(OR(ISNUMBER(SEARCH("Beam",$L73)),ISNUMBER(SEARCH("Firestorm",$L73))),1, IF(ISNUMBER(SEARCH("Blast",$L73)),(4+$F73+(2-$F73)*0.5)/6*2,(4+$F73)/6)) *
IF(ISNUMBER(SEARCH("Fusion",$L73)), _xlfn.IFS(X$24-$I73 &lt;=1, 9/10, X$24-$I73 &lt;=10,(11-(X$24-$I73))/10, X$24-$I73 &gt;=11, 0),
_xlfn.IFS(X$24-$I73 &lt;=1, 5/6, X$24-$I73 &lt;=5, (7-(X$24-$I73))/6, AND(X$24-$I73 =6,NOT(_xlfn.IFNA(ISNUMBER(SEARCH("Rending",$L73)),FALSE))), (7-(X$24-$I73))/6, AND(X$24-$I73 &gt;=7,NOT(_xlfn.IFNA(ISNUMBER(SEARCH("Rending",$L73)),FALSE))), 0, X$24-$I73 =7, (7-(X$24-1-$I73))/6, X$24-$I73 =8, (7-(X$24-2-$I73))/6*2/3, X$24-$I73 =9, (7-(X$24-3-$I73))/6*1/3, TRUE, 0)) *
IF(ISNUMBER(SEARCH("Ordinance",$L73)),7/6,1) *
IF(OR(ISNUMBER(SEARCH("Melee",$L73)),ISNUMBER(SEARCH("Bypass",$L73))),1.5,1)</f>
        <v>1.5</v>
      </c>
      <c r="Y73" s="17" cm="1">
        <f t="array" ref="Y73">$H73 *
IF(ISNUMBER(SEARCH("Rapid",$L73)),7/6,1) *
IF(OR(ISNUMBER(SEARCH("Beam",$L73)),ISNUMBER(SEARCH("Firestorm",$L73))),1, IF(ISNUMBER(SEARCH("Blast",$L73)),(4+$F73+(2-$F73)*0.5)/6*2,(4+$F73)/6)) *
IF(ISNUMBER(SEARCH("Fusion",$L73)), _xlfn.IFS(Y$24-$I73 &lt;=1, 9/10, Y$24-$I73 &lt;=10,(11-(Y$24-$I73))/10, Y$24-$I73 &gt;=11, 0),
_xlfn.IFS(Y$24-$I73 &lt;=1, 5/6, Y$24-$I73 &lt;=5, (7-(Y$24-$I73))/6, AND(Y$24-$I73 =6,NOT(_xlfn.IFNA(ISNUMBER(SEARCH("Rending",$L73)),FALSE))), (7-(Y$24-$I73))/6, AND(Y$24-$I73 &gt;=7,NOT(_xlfn.IFNA(ISNUMBER(SEARCH("Rending",$L73)),FALSE))), 0, Y$24-$I73 =7, (7-(Y$24-1-$I73))/6, Y$24-$I73 =8, (7-(Y$24-2-$I73))/6*2/3, Y$24-$I73 =9, (7-(Y$24-3-$I73))/6*1/3, TRUE, 0)) *
IF(ISNUMBER(SEARCH("Ordinance",$L73)),7/6,1) *
IF(OR(ISNUMBER(SEARCH("Melee",$L73)),ISNUMBER(SEARCH("Bypass",$L73))),1.5,1)</f>
        <v>1</v>
      </c>
      <c r="Z73" s="17" cm="1">
        <f t="array" ref="Z73">$H73 *
IF(ISNUMBER(SEARCH("Rapid",$L73)),7/6,1) *
IF(OR(ISNUMBER(SEARCH("Beam",$L73)),ISNUMBER(SEARCH("Firestorm",$L73))),1, IF(ISNUMBER(SEARCH("Blast",$L73)),(4+$F73+(2-$F73)*0.5)/6*2,(4+$F73)/6)) *
IF(ISNUMBER(SEARCH("Fusion",$L73)), _xlfn.IFS(Z$24-$I73 &lt;=1, 9/10, Z$24-$I73 &lt;=10,(11-(Z$24-$I73))/10, Z$24-$I73 &gt;=11, 0),
_xlfn.IFS(Z$24-$I73 &lt;=1, 5/6, Z$24-$I73 &lt;=5, (7-(Z$24-$I73))/6, AND(Z$24-$I73 =6,NOT(_xlfn.IFNA(ISNUMBER(SEARCH("Rending",$L73)),FALSE))), (7-(Z$24-$I73))/6, AND(Z$24-$I73 &gt;=7,NOT(_xlfn.IFNA(ISNUMBER(SEARCH("Rending",$L73)),FALSE))), 0, Z$24-$I73 =7, (7-(Z$24-1-$I73))/6, Z$24-$I73 =8, (7-(Z$24-2-$I73))/6*2/3, Z$24-$I73 =9, (7-(Z$24-3-$I73))/6*1/3, TRUE, 0)) *
IF(ISNUMBER(SEARCH("Ordinance",$L73)),7/6,1) *
IF(OR(ISNUMBER(SEARCH("Melee",$L73)),ISNUMBER(SEARCH("Bypass",$L73))),1.5,1)</f>
        <v>0.5</v>
      </c>
      <c r="AA73" s="17" cm="1">
        <f t="array" ref="AA73">$H73 *
IF(ISNUMBER(SEARCH("Rapid",$L73)),7/6,1) *
IF(OR(ISNUMBER(SEARCH("Beam",$L73)),ISNUMBER(SEARCH("Firestorm",$L73))),1, IF(ISNUMBER(SEARCH("Blast",$L73)),(4+$F73+(2-$F73)*0.5)/6*2,(4+$F73)/6)) *
IF(ISNUMBER(SEARCH("Fusion",$L73)), _xlfn.IFS(AA$24-$I73 &lt;=1, 9/10, AA$24-$I73 &lt;=10,(11-(AA$24-$I73))/10, AA$24-$I73 &gt;=11, 0),
_xlfn.IFS(AA$24-$I73 &lt;=1, 5/6, AA$24-$I73 &lt;=5, (7-(AA$24-$I73))/6, AND(AA$24-$I73 =6,NOT(_xlfn.IFNA(ISNUMBER(SEARCH("Rending",$L73)),FALSE))), (7-(AA$24-$I73))/6, AND(AA$24-$I73 &gt;=7,NOT(_xlfn.IFNA(ISNUMBER(SEARCH("Rending",$L73)),FALSE))), 0, AA$24-$I73 =7, (7-(AA$24-1-$I73))/6, AA$24-$I73 =8, (7-(AA$24-2-$I73))/6*2/3, AA$24-$I73 =9, (7-(AA$24-3-$I73))/6*1/3, TRUE, 0)) *
IF(ISNUMBER(SEARCH("Ordinance",$L73)),7/6,1) *
IF(OR(ISNUMBER(SEARCH("Melee",$L73)),ISNUMBER(SEARCH("Bypass",$L73))),1.5,1)</f>
        <v>0</v>
      </c>
      <c r="AB73" s="17" cm="1">
        <f t="array" ref="AB73">$H73 *
IF(ISNUMBER(SEARCH("Rapid",$L73)),7/6,1) *
IF(OR(ISNUMBER(SEARCH("Beam",$L73)),ISNUMBER(SEARCH("Firestorm",$L73))),1, IF(ISNUMBER(SEARCH("Blast",$L73)),(4+$F73+(2-$F73)*0.5)/6*2,(4+$F73)/6)) *
IF(ISNUMBER(SEARCH("Fusion",$L73)), _xlfn.IFS(AB$24-$I73 &lt;=1, 9/10, AB$24-$I73 &lt;=10,(11-(AB$24-$I73))/10, AB$24-$I73 &gt;=11, 0),
_xlfn.IFS(AB$24-$I73 &lt;=1, 5/6, AB$24-$I73 &lt;=5, (7-(AB$24-$I73))/6, AND(AB$24-$I73 =6,NOT(_xlfn.IFNA(ISNUMBER(SEARCH("Rending",$L73)),FALSE))), (7-(AB$24-$I73))/6, AND(AB$24-$I73 &gt;=7,NOT(_xlfn.IFNA(ISNUMBER(SEARCH("Rending",$L73)),FALSE))), 0, AB$24-$I73 =7, (7-(AB$24-1-$I73))/6, AB$24-$I73 =8, (7-(AB$24-2-$I73))/6*2/3, AB$24-$I73 =9, (7-(AB$24-3-$I73))/6*1/3, TRUE, 0)) *
IF(ISNUMBER(SEARCH("Ordinance",$L73)),7/6,1) *
IF(OR(ISNUMBER(SEARCH("Melee",$L73)),ISNUMBER(SEARCH("Bypass",$L73))),1.5,1)</f>
        <v>0</v>
      </c>
      <c r="AC73" s="17" cm="1">
        <f t="array" ref="AC73">$H73 *
IF(ISNUMBER(SEARCH("Rapid",$L73)),7/6,1) *
IF(OR(ISNUMBER(SEARCH("Beam",$L73)),ISNUMBER(SEARCH("Firestorm",$L73))),1, IF(ISNUMBER(SEARCH("Blast",$L73)),(4+$F73+(2-$F73)*0.5)/6*2,(4+$F73)/6)) *
IF(ISNUMBER(SEARCH("Fusion",$L73)), _xlfn.IFS(AC$24-$I73 &lt;=1, 9/10, AC$24-$I73 &lt;=10,(11-(AC$24-$I73))/10, AC$24-$I73 &gt;=11, 0),
_xlfn.IFS(AC$24-$I73 &lt;=1, 5/6, AC$24-$I73 &lt;=5, (7-(AC$24-$I73))/6, AND(AC$24-$I73 =6,NOT(_xlfn.IFNA(ISNUMBER(SEARCH("Rending",$L73)),FALSE))), (7-(AC$24-$I73))/6, AND(AC$24-$I73 &gt;=7,NOT(_xlfn.IFNA(ISNUMBER(SEARCH("Rending",$L73)),FALSE))), 0, AC$24-$I73 =7, (7-(AC$24-1-$I73))/6, AC$24-$I73 =8, (7-(AC$24-2-$I73))/6*2/3, AC$24-$I73 =9, (7-(AC$24-3-$I73))/6*1/3, TRUE, 0)) *
IF(ISNUMBER(SEARCH("Ordinance",$L73)),7/6,1) *
IF(OR(ISNUMBER(SEARCH("Melee",$L73)),ISNUMBER(SEARCH("Bypass",$L73))),1.5,1)</f>
        <v>0</v>
      </c>
      <c r="AD73" s="17" cm="1">
        <f t="array" ref="AD73">$H73 *
IF(ISNUMBER(SEARCH("Rapid",$L73)),7/6,1) *
IF(OR(ISNUMBER(SEARCH("Beam",$L73)),ISNUMBER(SEARCH("Firestorm",$L73))),1, IF(ISNUMBER(SEARCH("Blast",$L73)),(4+$F73+(2-$F73)*0.5)/6*2,(4+$F73)/6)) *
IF(ISNUMBER(SEARCH("Fusion",$L73)), _xlfn.IFS(AD$24-$I73 &lt;=1, 9/10, AD$24-$I73 &lt;=10,(11-(AD$24-$I73))/10, AD$24-$I73 &gt;=11, 0),
_xlfn.IFS(AD$24-$I73 &lt;=1, 5/6, AD$24-$I73 &lt;=5, (7-(AD$24-$I73))/6, AND(AD$24-$I73 =6,NOT(_xlfn.IFNA(ISNUMBER(SEARCH("Rending",$L73)),FALSE))), (7-(AD$24-$I73))/6, AND(AD$24-$I73 &gt;=7,NOT(_xlfn.IFNA(ISNUMBER(SEARCH("Rending",$L73)),FALSE))), 0, AD$24-$I73 =7, (7-(AD$24-1-$I73))/6, AD$24-$I73 =8, (7-(AD$24-2-$I73))/6*2/3, AD$24-$I73 =9, (7-(AD$24-3-$I73))/6*1/3, TRUE, 0)) *
IF(ISNUMBER(SEARCH("Ordinance",$L73)),7/6,1) *
IF(OR(ISNUMBER(SEARCH("Melee",$L73)),ISNUMBER(SEARCH("Bypass",$L73))),1.5,1)</f>
        <v>0</v>
      </c>
      <c r="AE73" s="17" cm="1">
        <f t="array" ref="AE73">$H73 *
IF(ISNUMBER(SEARCH("Rapid",$L73)),7/6,1) *
IF(OR(ISNUMBER(SEARCH("Beam",$L73)),ISNUMBER(SEARCH("Firestorm",$L73))),1, IF(ISNUMBER(SEARCH("Blast",$L73)),(4+$F73+(2-$F73)*0.5)/6*2,(4+$F73)/6)) *
IF(ISNUMBER(SEARCH("Fusion",$L73)), _xlfn.IFS(AE$24-$I73 &lt;=1, 9/10, AE$24-$I73 &lt;=10,(11-(AE$24-$I73))/10, AE$24-$I73 &gt;=11, 0),
_xlfn.IFS(AE$24-$I73 &lt;=1, 5/6, AE$24-$I73 &lt;=5, (7-(AE$24-$I73))/6, AND(AE$24-$I73 =6,NOT(_xlfn.IFNA(ISNUMBER(SEARCH("Rending",$L73)),FALSE))), (7-(AE$24-$I73))/6, AND(AE$24-$I73 &gt;=7,NOT(_xlfn.IFNA(ISNUMBER(SEARCH("Rending",$L73)),FALSE))), 0, AE$24-$I73 =7, (7-(AE$24-1-$I73))/6, AE$24-$I73 =8, (7-(AE$24-2-$I73))/6*2/3, AE$24-$I73 =9, (7-(AE$24-3-$I73))/6*1/3, TRUE, 0)) *
IF(ISNUMBER(SEARCH("Ordinance",$L73)),7/6,1) *
IF(OR(ISNUMBER(SEARCH("Melee",$L73)),ISNUMBER(SEARCH("Bypass",$L73))),1.5,1)</f>
        <v>0</v>
      </c>
      <c r="AF73" s="17" cm="1">
        <f t="array" ref="AF73">$H73 *
IF(ISNUMBER(SEARCH("Rapid",$L73)),7/6,1) *
IF(OR(ISNUMBER(SEARCH("Beam",$L73)),ISNUMBER(SEARCH("Firestorm",$L73))),1, IF(ISNUMBER(SEARCH("Blast",$L73)),(4+$F73+(2-$F73)*0.5)/6*2,(4+$F73)/6)) *
IF(ISNUMBER(SEARCH("Fusion",$L73)), _xlfn.IFS(AF$24-$I73 &lt;=1, 9/10, AF$24-$I73 &lt;=10,(11-(AF$24-$I73))/10, AF$24-$I73 &gt;=11, 0),
_xlfn.IFS(AF$24-$I73 &lt;=1, 5/6, AF$24-$I73 &lt;=5, (7-(AF$24-$I73))/6, AND(AF$24-$I73 =6,NOT(_xlfn.IFNA(ISNUMBER(SEARCH("Rending",$L73)),FALSE))), (7-(AF$24-$I73))/6, AND(AF$24-$I73 &gt;=7,NOT(_xlfn.IFNA(ISNUMBER(SEARCH("Rending",$L73)),FALSE))), 0, AF$24-$I73 =7, (7-(AF$24-1-$I73))/6, AF$24-$I73 =8, (7-(AF$24-2-$I73))/6*2/3, AF$24-$I73 =9, (7-(AF$24-3-$I73))/6*1/3, TRUE, 0)) *
IF(ISNUMBER(SEARCH("Ordinance",$L73)),7/6,1) *
IF(OR(ISNUMBER(SEARCH("Melee",$L73)),ISNUMBER(SEARCH("Bypass",$L73))),1.5,1)</f>
        <v>0</v>
      </c>
      <c r="AG73" s="16">
        <f t="shared" si="22"/>
        <v>1.63</v>
      </c>
      <c r="AH73" s="16">
        <f t="shared" si="23"/>
        <v>2.4449999999999998</v>
      </c>
      <c r="AI73" s="17" cm="1">
        <f t="array" ref="AI73">$H73 *
IF(ISNUMBER(SEARCH("Rapid",$L73)),7/6,1) *
IF(OR(ISNUMBER(SEARCH("Beam",$L73)),ISNUMBER(SEARCH("Firestorm",$L73))),1, IF(ISNUMBER(SEARCH("Blast",$L73)),(4+$G73+(2-$G73)*0.5)/6*2,(4+$G73)/6)) *
_xlfn.IFS(AI$24-$I73 &lt;=1, 5/6, AI$24-$I73 &lt;=5, (7-(AI$24-$I73))/6, AND(AI$24-$I73 =6,NOT(_xlfn.IFNA(ISNUMBER(SEARCH("Rending",$L73)),FALSE))), (7-(AI$24-$I73))/6, AND(AI$24-$I73 &gt;=7,NOT(_xlfn.IFNA(ISNUMBER(SEARCH("Rending",$L73)),FALSE))), 0, AI$24-$I73 =7, (7-(AI$24-1-$I73))/6, AI$24-$I73 =8, (7-(AI$24-2-$I73))/6*2/3, AI$24-$I73 =9, (7-(AI$24-3-$I73))/6*1/3, TRUE, 0) *
IF(ISNUMBER(SEARCH("Ordinance",$L73)),7/6,1) *
IF(OR(ISNUMBER(SEARCH("Melee",$L73)),ISNUMBER(SEARCH("Bypass",$L73))),1.5,1)</f>
        <v>1.5</v>
      </c>
      <c r="AJ73" s="17" cm="1">
        <f t="array" ref="AJ73">$H73 *
IF(ISNUMBER(SEARCH("Rapid",$L73)),7/6,1) *
IF(OR(ISNUMBER(SEARCH("Beam",$L73)),ISNUMBER(SEARCH("Firestorm",$L73))),1, IF(ISNUMBER(SEARCH("Blast",$L73)),(4+$G73+(2-$G73)*0.5)/6*2,(4+$G73)/6)) *
_xlfn.IFS(AJ$24-$I73 &lt;=1, 5/6, AJ$24-$I73 &lt;=5, (7-(AJ$24-$I73))/6, AND(AJ$24-$I73 =6,NOT(_xlfn.IFNA(ISNUMBER(SEARCH("Rending",$L73)),FALSE))), (7-(AJ$24-$I73))/6, AND(AJ$24-$I73 &gt;=7,NOT(_xlfn.IFNA(ISNUMBER(SEARCH("Rending",$L73)),FALSE))), 0, AJ$24-$I73 =7, (7-(AJ$24-1-$I73))/6, AJ$24-$I73 =8, (7-(AJ$24-2-$I73))/6*2/3, AJ$24-$I73 =9, (7-(AJ$24-3-$I73))/6*1/3, TRUE, 0) *
IF(ISNUMBER(SEARCH("Ordinance",$L73)),7/6,1) *
IF(OR(ISNUMBER(SEARCH("Melee",$L73)),ISNUMBER(SEARCH("Bypass",$L73))),1.5,1)</f>
        <v>1</v>
      </c>
      <c r="AK73" s="17" cm="1">
        <f t="array" ref="AK73">$H73 *
IF(ISNUMBER(SEARCH("Rapid",$L73)),7/6,1) *
IF(OR(ISNUMBER(SEARCH("Beam",$L73)),ISNUMBER(SEARCH("Firestorm",$L73))),1, IF(ISNUMBER(SEARCH("Blast",$L73)),(4+$G73+(2-$G73)*0.5)/6*2,(4+$G73)/6)) *
_xlfn.IFS(AK$24-$I73 &lt;=1, 5/6, AK$24-$I73 &lt;=5, (7-(AK$24-$I73))/6, AND(AK$24-$I73 =6,NOT(_xlfn.IFNA(ISNUMBER(SEARCH("Rending",$L73)),FALSE))), (7-(AK$24-$I73))/6, AND(AK$24-$I73 &gt;=7,NOT(_xlfn.IFNA(ISNUMBER(SEARCH("Rending",$L73)),FALSE))), 0, AK$24-$I73 =7, (7-(AK$24-1-$I73))/6, AK$24-$I73 =8, (7-(AK$24-2-$I73))/6*2/3, AK$24-$I73 =9, (7-(AK$24-3-$I73))/6*1/3, TRUE, 0) *
IF(ISNUMBER(SEARCH("Ordinance",$L73)),7/6,1) *
IF(OR(ISNUMBER(SEARCH("Melee",$L73)),ISNUMBER(SEARCH("Bypass",$L73))),1.5,1)</f>
        <v>0.5</v>
      </c>
      <c r="AL73" s="17" cm="1">
        <f t="array" ref="AL73">$H73 *
IF(ISNUMBER(SEARCH("Rapid",$L73)),7/6,1) *
IF(OR(ISNUMBER(SEARCH("Beam",$L73)),ISNUMBER(SEARCH("Firestorm",$L73))),1, IF(ISNUMBER(SEARCH("Blast",$L73)),(4+$G73+(2-$G73)*0.5)/6*2,(4+$G73)/6)) *
_xlfn.IFS(AL$24-$I73 &lt;=1, 5/6, AL$24-$I73 &lt;=5, (7-(AL$24-$I73))/6, AND(AL$24-$I73 =6,NOT(_xlfn.IFNA(ISNUMBER(SEARCH("Rending",$L73)),FALSE))), (7-(AL$24-$I73))/6, AND(AL$24-$I73 &gt;=7,NOT(_xlfn.IFNA(ISNUMBER(SEARCH("Rending",$L73)),FALSE))), 0, AL$24-$I73 =7, (7-(AL$24-1-$I73))/6, AL$24-$I73 =8, (7-(AL$24-2-$I73))/6*2/3, AL$24-$I73 =9, (7-(AL$24-3-$I73))/6*1/3, TRUE, 0) *
IF(ISNUMBER(SEARCH("Ordinance",$L73)),7/6,1) *
IF(OR(ISNUMBER(SEARCH("Melee",$L73)),ISNUMBER(SEARCH("Bypass",$L73))),1.5,1)</f>
        <v>0</v>
      </c>
      <c r="AM73" s="17" cm="1">
        <f t="array" ref="AM73">$H73 *
IF(ISNUMBER(SEARCH("Rapid",$L73)),7/6,1) *
IF(OR(ISNUMBER(SEARCH("Beam",$L73)),ISNUMBER(SEARCH("Firestorm",$L73))),1, IF(ISNUMBER(SEARCH("Blast",$L73)),(4+$G73+(2-$G73)*0.5)/6*2,(4+$G73)/6)) *
_xlfn.IFS(AM$24-$I73 &lt;=1, 5/6, AM$24-$I73 &lt;=5, (7-(AM$24-$I73))/6, AND(AM$24-$I73 =6,NOT(_xlfn.IFNA(ISNUMBER(SEARCH("Rending",$L73)),FALSE))), (7-(AM$24-$I73))/6, AND(AM$24-$I73 &gt;=7,NOT(_xlfn.IFNA(ISNUMBER(SEARCH("Rending",$L73)),FALSE))), 0, AM$24-$I73 =7, (7-(AM$24-1-$I73))/6, AM$24-$I73 =8, (7-(AM$24-2-$I73))/6*2/3, AM$24-$I73 =9, (7-(AM$24-3-$I73))/6*1/3, TRUE, 0) *
IF(ISNUMBER(SEARCH("Ordinance",$L73)),7/6,1) *
IF(OR(ISNUMBER(SEARCH("Melee",$L73)),ISNUMBER(SEARCH("Bypass",$L73))),1.5,1)</f>
        <v>0</v>
      </c>
      <c r="AN73" s="17" cm="1">
        <f t="array" ref="AN73">$H73 *
IF(ISNUMBER(SEARCH("Rapid",$L73)),7/6,1) *
IF(OR(ISNUMBER(SEARCH("Beam",$L73)),ISNUMBER(SEARCH("Firestorm",$L73))),1, IF(ISNUMBER(SEARCH("Blast",$L73)),(4+$G73+(2-$G73)*0.5)/6*2,(4+$G73)/6)) *
_xlfn.IFS(AN$24-$I73 &lt;=1, 5/6, AN$24-$I73 &lt;=5, (7-(AN$24-$I73))/6, AND(AN$24-$I73 =6,NOT(_xlfn.IFNA(ISNUMBER(SEARCH("Rending",$L73)),FALSE))), (7-(AN$24-$I73))/6, AND(AN$24-$I73 &gt;=7,NOT(_xlfn.IFNA(ISNUMBER(SEARCH("Rending",$L73)),FALSE))), 0, AN$24-$I73 =7, (7-(AN$24-1-$I73))/6, AN$24-$I73 =8, (7-(AN$24-2-$I73))/6*2/3, AN$24-$I73 =9, (7-(AN$24-3-$I73))/6*1/3, TRUE, 0) *
IF(ISNUMBER(SEARCH("Ordinance",$L73)),7/6,1) *
IF(OR(ISNUMBER(SEARCH("Melee",$L73)),ISNUMBER(SEARCH("Bypass",$L73))),1.5,1)</f>
        <v>0</v>
      </c>
      <c r="AO73" s="17" cm="1">
        <f t="array" ref="AO73">$H73 *
IF(ISNUMBER(SEARCH("Rapid",$L73)),7/6,1) *
IF(OR(ISNUMBER(SEARCH("Beam",$L73)),ISNUMBER(SEARCH("Firestorm",$L73))),1, IF(ISNUMBER(SEARCH("Blast",$L73)),(4+$G73+(2-$G73)*0.5)/6*2,(4+$G73)/6)) *
_xlfn.IFS(AO$24-$I73 &lt;=1, 5/6, AO$24-$I73 &lt;=5, (7-(AO$24-$I73))/6, AND(AO$24-$I73 =6,NOT(_xlfn.IFNA(ISNUMBER(SEARCH("Rending",$L73)),FALSE))), (7-(AO$24-$I73))/6, AND(AO$24-$I73 &gt;=7,NOT(_xlfn.IFNA(ISNUMBER(SEARCH("Rending",$L73)),FALSE))), 0, AO$24-$I73 =7, (7-(AO$24-1-$I73))/6, AO$24-$I73 =8, (7-(AO$24-2-$I73))/6*2/3, AO$24-$I73 =9, (7-(AO$24-3-$I73))/6*1/3, TRUE, 0) *
IF(ISNUMBER(SEARCH("Ordinance",$L73)),7/6,1) *
IF(OR(ISNUMBER(SEARCH("Melee",$L73)),ISNUMBER(SEARCH("Bypass",$L73))),1.5,1)</f>
        <v>0</v>
      </c>
      <c r="AP73" s="17" cm="1">
        <f t="array" ref="AP73">$H73 *
IF(ISNUMBER(SEARCH("Rapid",$L73)),7/6,1) *
IF(OR(ISNUMBER(SEARCH("Beam",$L73)),ISNUMBER(SEARCH("Firestorm",$L73))),1, IF(ISNUMBER(SEARCH("Blast",$L73)),(4+$G73+(2-$G73)*0.5)/6*2,(4+$G73)/6)) *
_xlfn.IFS(AP$24-$I73 &lt;=1, 5/6, AP$24-$I73 &lt;=5, (7-(AP$24-$I73))/6, AND(AP$24-$I73 =6,NOT(_xlfn.IFNA(ISNUMBER(SEARCH("Rending",$L73)),FALSE))), (7-(AP$24-$I73))/6, AND(AP$24-$I73 &gt;=7,NOT(_xlfn.IFNA(ISNUMBER(SEARCH("Rending",$L73)),FALSE))), 0, AP$24-$I73 =7, (7-(AP$24-1-$I73))/6, AP$24-$I73 =8, (7-(AP$24-2-$I73))/6*2/3, AP$24-$I73 =9, (7-(AP$24-3-$I73))/6*1/3, TRUE, 0) *
IF(ISNUMBER(SEARCH("Ordinance",$L73)),7/6,1) *
IF(OR(ISNUMBER(SEARCH("Melee",$L73)),ISNUMBER(SEARCH("Bypass",$L73))),1.5,1)</f>
        <v>0</v>
      </c>
      <c r="AQ73" s="17" cm="1">
        <f t="array" ref="AQ73">$H73 *
IF(ISNUMBER(SEARCH("Rapid",$L73)),7/6,1) *
IF(OR(ISNUMBER(SEARCH("Beam",$L73)),ISNUMBER(SEARCH("Firestorm",$L73))),1, IF(ISNUMBER(SEARCH("Blast",$L73)),(4+$G73+(2-$G73)*0.5)/6*2,(4+$G73)/6)) *
_xlfn.IFS(AQ$24-$I73 &lt;=1, 5/6, AQ$24-$I73 &lt;=5, (7-(AQ$24-$I73))/6, AND(AQ$24-$I73 =6,NOT(_xlfn.IFNA(ISNUMBER(SEARCH("Rending",$L73)),FALSE))), (7-(AQ$24-$I73))/6, AND(AQ$24-$I73 &gt;=7,NOT(_xlfn.IFNA(ISNUMBER(SEARCH("Rending",$L73)),FALSE))), 0, AQ$24-$I73 =7, (7-(AQ$24-1-$I73))/6, AQ$24-$I73 =8, (7-(AQ$24-2-$I73))/6*2/3, AQ$24-$I73 =9, (7-(AQ$24-3-$I73))/6*1/3, TRUE, 0) *
IF(ISNUMBER(SEARCH("Ordinance",$L73)),7/6,1) *
IF(OR(ISNUMBER(SEARCH("Melee",$L73)),ISNUMBER(SEARCH("Bypass",$L73))),1.5,1)</f>
        <v>0</v>
      </c>
      <c r="AS73" s="16">
        <f t="shared" si="11"/>
        <v>1.63</v>
      </c>
      <c r="AT73" s="16">
        <f t="shared" si="12"/>
        <v>2.4449999999999998</v>
      </c>
      <c r="AU73" s="16">
        <f t="shared" si="9"/>
        <v>0.77499999999999991</v>
      </c>
      <c r="AV73" s="2">
        <v>9</v>
      </c>
    </row>
    <row r="74" spans="1:48" x14ac:dyDescent="0.3">
      <c r="A74" t="s">
        <v>623</v>
      </c>
      <c r="B74" s="3">
        <v>18</v>
      </c>
      <c r="C74" s="3">
        <v>38</v>
      </c>
      <c r="D74" s="3">
        <v>1</v>
      </c>
      <c r="E74" s="3">
        <v>2</v>
      </c>
      <c r="F74" s="10"/>
      <c r="G74" s="10"/>
      <c r="H74" s="3">
        <v>1</v>
      </c>
      <c r="I74" s="3">
        <v>9</v>
      </c>
      <c r="J74" s="3" t="s">
        <v>215</v>
      </c>
      <c r="K74" s="3">
        <v>20</v>
      </c>
      <c r="L74" s="3" t="s">
        <v>624</v>
      </c>
      <c r="M74" s="3" t="s">
        <v>199</v>
      </c>
      <c r="N74" s="3">
        <v>10</v>
      </c>
      <c r="O74" s="52">
        <v>10</v>
      </c>
      <c r="P74" s="52">
        <v>14</v>
      </c>
      <c r="Q74" s="3" t="s">
        <v>200</v>
      </c>
      <c r="R74" s="52">
        <v>7</v>
      </c>
      <c r="S74" s="52">
        <v>9</v>
      </c>
      <c r="T74" s="46">
        <v>4</v>
      </c>
      <c r="V74" s="16">
        <f t="shared" si="20"/>
        <v>0.22222222222222221</v>
      </c>
      <c r="W74" s="16">
        <f t="shared" si="21"/>
        <v>0.33333333333333331</v>
      </c>
      <c r="X74" s="17" cm="1">
        <f t="array" ref="X74">$H74 *
IF(ISNUMBER(SEARCH("Rapid",$L74)),7/6,1) *
IF(OR(ISNUMBER(SEARCH("Beam",$L74)),ISNUMBER(SEARCH("Firestorm",$L74))),1, IF(ISNUMBER(SEARCH("Blast",$L74)),(4+$F74+(2-$F74)*0.5)/6*2,(4+$F74)/6)) *
IF(ISNUMBER(SEARCH("Fusion",$L74)), _xlfn.IFS(X$24-$I74 &lt;=1, 9/10, X$24-$I74 &lt;=10,(11-(X$24-$I74))/10, X$24-$I74 &gt;=11, 0),
_xlfn.IFS(X$24-$I74 &lt;=1, 5/6, X$24-$I74 &lt;=5, (7-(X$24-$I74))/6, AND(X$24-$I74 =6,NOT(_xlfn.IFNA(ISNUMBER(SEARCH("Rending",$L74)),FALSE))), (7-(X$24-$I74))/6, AND(X$24-$I74 &gt;=7,NOT(_xlfn.IFNA(ISNUMBER(SEARCH("Rending",$L74)),FALSE))), 0, X$24-$I74 =7, (7-(X$24-1-$I74))/6, X$24-$I74 =8, (7-(X$24-2-$I74))/6*2/3, X$24-$I74 =9, (7-(X$24-3-$I74))/6*1/3, TRUE, 0)) *
IF(ISNUMBER(SEARCH("Ordinance",$L74)),7/6,1) *
IF(OR(ISNUMBER(SEARCH("Melee",$L74)),ISNUMBER(SEARCH("Bypass",$L74))),1.5,1)</f>
        <v>0.55555555555555558</v>
      </c>
      <c r="Y74" s="17" cm="1">
        <f t="array" ref="Y74">$H74 *
IF(ISNUMBER(SEARCH("Rapid",$L74)),7/6,1) *
IF(OR(ISNUMBER(SEARCH("Beam",$L74)),ISNUMBER(SEARCH("Firestorm",$L74))),1, IF(ISNUMBER(SEARCH("Blast",$L74)),(4+$F74+(2-$F74)*0.5)/6*2,(4+$F74)/6)) *
IF(ISNUMBER(SEARCH("Fusion",$L74)), _xlfn.IFS(Y$24-$I74 &lt;=1, 9/10, Y$24-$I74 &lt;=10,(11-(Y$24-$I74))/10, Y$24-$I74 &gt;=11, 0),
_xlfn.IFS(Y$24-$I74 &lt;=1, 5/6, Y$24-$I74 &lt;=5, (7-(Y$24-$I74))/6, AND(Y$24-$I74 =6,NOT(_xlfn.IFNA(ISNUMBER(SEARCH("Rending",$L74)),FALSE))), (7-(Y$24-$I74))/6, AND(Y$24-$I74 &gt;=7,NOT(_xlfn.IFNA(ISNUMBER(SEARCH("Rending",$L74)),FALSE))), 0, Y$24-$I74 =7, (7-(Y$24-1-$I74))/6, Y$24-$I74 =8, (7-(Y$24-2-$I74))/6*2/3, Y$24-$I74 =9, (7-(Y$24-3-$I74))/6*1/3, TRUE, 0)) *
IF(ISNUMBER(SEARCH("Ordinance",$L74)),7/6,1) *
IF(OR(ISNUMBER(SEARCH("Melee",$L74)),ISNUMBER(SEARCH("Bypass",$L74))),1.5,1)</f>
        <v>0.55555555555555558</v>
      </c>
      <c r="Z74" s="17" cm="1">
        <f t="array" ref="Z74">$H74 *
IF(ISNUMBER(SEARCH("Rapid",$L74)),7/6,1) *
IF(OR(ISNUMBER(SEARCH("Beam",$L74)),ISNUMBER(SEARCH("Firestorm",$L74))),1, IF(ISNUMBER(SEARCH("Blast",$L74)),(4+$F74+(2-$F74)*0.5)/6*2,(4+$F74)/6)) *
IF(ISNUMBER(SEARCH("Fusion",$L74)), _xlfn.IFS(Z$24-$I74 &lt;=1, 9/10, Z$24-$I74 &lt;=10,(11-(Z$24-$I74))/10, Z$24-$I74 &gt;=11, 0),
_xlfn.IFS(Z$24-$I74 &lt;=1, 5/6, Z$24-$I74 &lt;=5, (7-(Z$24-$I74))/6, AND(Z$24-$I74 =6,NOT(_xlfn.IFNA(ISNUMBER(SEARCH("Rending",$L74)),FALSE))), (7-(Z$24-$I74))/6, AND(Z$24-$I74 &gt;=7,NOT(_xlfn.IFNA(ISNUMBER(SEARCH("Rending",$L74)),FALSE))), 0, Z$24-$I74 =7, (7-(Z$24-1-$I74))/6, Z$24-$I74 =8, (7-(Z$24-2-$I74))/6*2/3, Z$24-$I74 =9, (7-(Z$24-3-$I74))/6*1/3, TRUE, 0)) *
IF(ISNUMBER(SEARCH("Ordinance",$L74)),7/6,1) *
IF(OR(ISNUMBER(SEARCH("Melee",$L74)),ISNUMBER(SEARCH("Bypass",$L74))),1.5,1)</f>
        <v>0.55555555555555558</v>
      </c>
      <c r="AA74" s="17" cm="1">
        <f t="array" ref="AA74">$H74 *
IF(ISNUMBER(SEARCH("Rapid",$L74)),7/6,1) *
IF(OR(ISNUMBER(SEARCH("Beam",$L74)),ISNUMBER(SEARCH("Firestorm",$L74))),1, IF(ISNUMBER(SEARCH("Blast",$L74)),(4+$F74+(2-$F74)*0.5)/6*2,(4+$F74)/6)) *
IF(ISNUMBER(SEARCH("Fusion",$L74)), _xlfn.IFS(AA$24-$I74 &lt;=1, 9/10, AA$24-$I74 &lt;=10,(11-(AA$24-$I74))/10, AA$24-$I74 &gt;=11, 0),
_xlfn.IFS(AA$24-$I74 &lt;=1, 5/6, AA$24-$I74 &lt;=5, (7-(AA$24-$I74))/6, AND(AA$24-$I74 =6,NOT(_xlfn.IFNA(ISNUMBER(SEARCH("Rending",$L74)),FALSE))), (7-(AA$24-$I74))/6, AND(AA$24-$I74 &gt;=7,NOT(_xlfn.IFNA(ISNUMBER(SEARCH("Rending",$L74)),FALSE))), 0, AA$24-$I74 =7, (7-(AA$24-1-$I74))/6, AA$24-$I74 =8, (7-(AA$24-2-$I74))/6*2/3, AA$24-$I74 =9, (7-(AA$24-3-$I74))/6*1/3, TRUE, 0)) *
IF(ISNUMBER(SEARCH("Ordinance",$L74)),7/6,1) *
IF(OR(ISNUMBER(SEARCH("Melee",$L74)),ISNUMBER(SEARCH("Bypass",$L74))),1.5,1)</f>
        <v>0.44444444444444442</v>
      </c>
      <c r="AB74" s="17" cm="1">
        <f t="array" ref="AB74">$H74 *
IF(ISNUMBER(SEARCH("Rapid",$L74)),7/6,1) *
IF(OR(ISNUMBER(SEARCH("Beam",$L74)),ISNUMBER(SEARCH("Firestorm",$L74))),1, IF(ISNUMBER(SEARCH("Blast",$L74)),(4+$F74+(2-$F74)*0.5)/6*2,(4+$F74)/6)) *
IF(ISNUMBER(SEARCH("Fusion",$L74)), _xlfn.IFS(AB$24-$I74 &lt;=1, 9/10, AB$24-$I74 &lt;=10,(11-(AB$24-$I74))/10, AB$24-$I74 &gt;=11, 0),
_xlfn.IFS(AB$24-$I74 &lt;=1, 5/6, AB$24-$I74 &lt;=5, (7-(AB$24-$I74))/6, AND(AB$24-$I74 =6,NOT(_xlfn.IFNA(ISNUMBER(SEARCH("Rending",$L74)),FALSE))), (7-(AB$24-$I74))/6, AND(AB$24-$I74 &gt;=7,NOT(_xlfn.IFNA(ISNUMBER(SEARCH("Rending",$L74)),FALSE))), 0, AB$24-$I74 =7, (7-(AB$24-1-$I74))/6, AB$24-$I74 =8, (7-(AB$24-2-$I74))/6*2/3, AB$24-$I74 =9, (7-(AB$24-3-$I74))/6*1/3, TRUE, 0)) *
IF(ISNUMBER(SEARCH("Ordinance",$L74)),7/6,1) *
IF(OR(ISNUMBER(SEARCH("Melee",$L74)),ISNUMBER(SEARCH("Bypass",$L74))),1.5,1)</f>
        <v>0.33333333333333331</v>
      </c>
      <c r="AC74" s="17" cm="1">
        <f t="array" ref="AC74">$H74 *
IF(ISNUMBER(SEARCH("Rapid",$L74)),7/6,1) *
IF(OR(ISNUMBER(SEARCH("Beam",$L74)),ISNUMBER(SEARCH("Firestorm",$L74))),1, IF(ISNUMBER(SEARCH("Blast",$L74)),(4+$F74+(2-$F74)*0.5)/6*2,(4+$F74)/6)) *
IF(ISNUMBER(SEARCH("Fusion",$L74)), _xlfn.IFS(AC$24-$I74 &lt;=1, 9/10, AC$24-$I74 &lt;=10,(11-(AC$24-$I74))/10, AC$24-$I74 &gt;=11, 0),
_xlfn.IFS(AC$24-$I74 &lt;=1, 5/6, AC$24-$I74 &lt;=5, (7-(AC$24-$I74))/6, AND(AC$24-$I74 =6,NOT(_xlfn.IFNA(ISNUMBER(SEARCH("Rending",$L74)),FALSE))), (7-(AC$24-$I74))/6, AND(AC$24-$I74 &gt;=7,NOT(_xlfn.IFNA(ISNUMBER(SEARCH("Rending",$L74)),FALSE))), 0, AC$24-$I74 =7, (7-(AC$24-1-$I74))/6, AC$24-$I74 =8, (7-(AC$24-2-$I74))/6*2/3, AC$24-$I74 =9, (7-(AC$24-3-$I74))/6*1/3, TRUE, 0)) *
IF(ISNUMBER(SEARCH("Ordinance",$L74)),7/6,1) *
IF(OR(ISNUMBER(SEARCH("Melee",$L74)),ISNUMBER(SEARCH("Bypass",$L74))),1.5,1)</f>
        <v>0.22222222222222221</v>
      </c>
      <c r="AD74" s="17" cm="1">
        <f t="array" ref="AD74">$H74 *
IF(ISNUMBER(SEARCH("Rapid",$L74)),7/6,1) *
IF(OR(ISNUMBER(SEARCH("Beam",$L74)),ISNUMBER(SEARCH("Firestorm",$L74))),1, IF(ISNUMBER(SEARCH("Blast",$L74)),(4+$F74+(2-$F74)*0.5)/6*2,(4+$F74)/6)) *
IF(ISNUMBER(SEARCH("Fusion",$L74)), _xlfn.IFS(AD$24-$I74 &lt;=1, 9/10, AD$24-$I74 &lt;=10,(11-(AD$24-$I74))/10, AD$24-$I74 &gt;=11, 0),
_xlfn.IFS(AD$24-$I74 &lt;=1, 5/6, AD$24-$I74 &lt;=5, (7-(AD$24-$I74))/6, AND(AD$24-$I74 =6,NOT(_xlfn.IFNA(ISNUMBER(SEARCH("Rending",$L74)),FALSE))), (7-(AD$24-$I74))/6, AND(AD$24-$I74 &gt;=7,NOT(_xlfn.IFNA(ISNUMBER(SEARCH("Rending",$L74)),FALSE))), 0, AD$24-$I74 =7, (7-(AD$24-1-$I74))/6, AD$24-$I74 =8, (7-(AD$24-2-$I74))/6*2/3, AD$24-$I74 =9, (7-(AD$24-3-$I74))/6*1/3, TRUE, 0)) *
IF(ISNUMBER(SEARCH("Ordinance",$L74)),7/6,1) *
IF(OR(ISNUMBER(SEARCH("Melee",$L74)),ISNUMBER(SEARCH("Bypass",$L74))),1.5,1)</f>
        <v>0</v>
      </c>
      <c r="AE74" s="17" cm="1">
        <f t="array" ref="AE74">$H74 *
IF(ISNUMBER(SEARCH("Rapid",$L74)),7/6,1) *
IF(OR(ISNUMBER(SEARCH("Beam",$L74)),ISNUMBER(SEARCH("Firestorm",$L74))),1, IF(ISNUMBER(SEARCH("Blast",$L74)),(4+$F74+(2-$F74)*0.5)/6*2,(4+$F74)/6)) *
IF(ISNUMBER(SEARCH("Fusion",$L74)), _xlfn.IFS(AE$24-$I74 &lt;=1, 9/10, AE$24-$I74 &lt;=10,(11-(AE$24-$I74))/10, AE$24-$I74 &gt;=11, 0),
_xlfn.IFS(AE$24-$I74 &lt;=1, 5/6, AE$24-$I74 &lt;=5, (7-(AE$24-$I74))/6, AND(AE$24-$I74 =6,NOT(_xlfn.IFNA(ISNUMBER(SEARCH("Rending",$L74)),FALSE))), (7-(AE$24-$I74))/6, AND(AE$24-$I74 &gt;=7,NOT(_xlfn.IFNA(ISNUMBER(SEARCH("Rending",$L74)),FALSE))), 0, AE$24-$I74 =7, (7-(AE$24-1-$I74))/6, AE$24-$I74 =8, (7-(AE$24-2-$I74))/6*2/3, AE$24-$I74 =9, (7-(AE$24-3-$I74))/6*1/3, TRUE, 0)) *
IF(ISNUMBER(SEARCH("Ordinance",$L74)),7/6,1) *
IF(OR(ISNUMBER(SEARCH("Melee",$L74)),ISNUMBER(SEARCH("Bypass",$L74))),1.5,1)</f>
        <v>0.1111111111111111</v>
      </c>
      <c r="AF74" s="17" cm="1">
        <f t="array" ref="AF74">$H74 *
IF(ISNUMBER(SEARCH("Rapid",$L74)),7/6,1) *
IF(OR(ISNUMBER(SEARCH("Beam",$L74)),ISNUMBER(SEARCH("Firestorm",$L74))),1, IF(ISNUMBER(SEARCH("Blast",$L74)),(4+$F74+(2-$F74)*0.5)/6*2,(4+$F74)/6)) *
IF(ISNUMBER(SEARCH("Fusion",$L74)), _xlfn.IFS(AF$24-$I74 &lt;=1, 9/10, AF$24-$I74 &lt;=10,(11-(AF$24-$I74))/10, AF$24-$I74 &gt;=11, 0),
_xlfn.IFS(AF$24-$I74 &lt;=1, 5/6, AF$24-$I74 &lt;=5, (7-(AF$24-$I74))/6, AND(AF$24-$I74 =6,NOT(_xlfn.IFNA(ISNUMBER(SEARCH("Rending",$L74)),FALSE))), (7-(AF$24-$I74))/6, AND(AF$24-$I74 &gt;=7,NOT(_xlfn.IFNA(ISNUMBER(SEARCH("Rending",$L74)),FALSE))), 0, AF$24-$I74 =7, (7-(AF$24-1-$I74))/6, AF$24-$I74 =8, (7-(AF$24-2-$I74))/6*2/3, AF$24-$I74 =9, (7-(AF$24-3-$I74))/6*1/3, TRUE, 0)) *
IF(ISNUMBER(SEARCH("Ordinance",$L74)),7/6,1) *
IF(OR(ISNUMBER(SEARCH("Melee",$L74)),ISNUMBER(SEARCH("Bypass",$L74))),1.5,1)</f>
        <v>7.407407407407407E-2</v>
      </c>
      <c r="AG74" s="16">
        <f t="shared" si="22"/>
        <v>0.22222222222222221</v>
      </c>
      <c r="AH74" s="16">
        <f t="shared" si="23"/>
        <v>0.33333333333333331</v>
      </c>
      <c r="AI74" s="17" cm="1">
        <f t="array" ref="AI74">$H74 *
IF(ISNUMBER(SEARCH("Rapid",$L74)),7/6,1) *
IF(OR(ISNUMBER(SEARCH("Beam",$L74)),ISNUMBER(SEARCH("Firestorm",$L74))),1, IF(ISNUMBER(SEARCH("Blast",$L74)),(4+$G74+(2-$G74)*0.5)/6*2,(4+$G74)/6)) *
_xlfn.IFS(AI$24-$I74 &lt;=1, 5/6, AI$24-$I74 &lt;=5, (7-(AI$24-$I74))/6, AND(AI$24-$I74 =6,NOT(_xlfn.IFNA(ISNUMBER(SEARCH("Rending",$L74)),FALSE))), (7-(AI$24-$I74))/6, AND(AI$24-$I74 &gt;=7,NOT(_xlfn.IFNA(ISNUMBER(SEARCH("Rending",$L74)),FALSE))), 0, AI$24-$I74 =7, (7-(AI$24-1-$I74))/6, AI$24-$I74 =8, (7-(AI$24-2-$I74))/6*2/3, AI$24-$I74 =9, (7-(AI$24-3-$I74))/6*1/3, TRUE, 0) *
IF(ISNUMBER(SEARCH("Ordinance",$L74)),7/6,1) *
IF(OR(ISNUMBER(SEARCH("Melee",$L74)),ISNUMBER(SEARCH("Bypass",$L74))),1.5,1)</f>
        <v>0.55555555555555558</v>
      </c>
      <c r="AJ74" s="17" cm="1">
        <f t="array" ref="AJ74">$H74 *
IF(ISNUMBER(SEARCH("Rapid",$L74)),7/6,1) *
IF(OR(ISNUMBER(SEARCH("Beam",$L74)),ISNUMBER(SEARCH("Firestorm",$L74))),1, IF(ISNUMBER(SEARCH("Blast",$L74)),(4+$G74+(2-$G74)*0.5)/6*2,(4+$G74)/6)) *
_xlfn.IFS(AJ$24-$I74 &lt;=1, 5/6, AJ$24-$I74 &lt;=5, (7-(AJ$24-$I74))/6, AND(AJ$24-$I74 =6,NOT(_xlfn.IFNA(ISNUMBER(SEARCH("Rending",$L74)),FALSE))), (7-(AJ$24-$I74))/6, AND(AJ$24-$I74 &gt;=7,NOT(_xlfn.IFNA(ISNUMBER(SEARCH("Rending",$L74)),FALSE))), 0, AJ$24-$I74 =7, (7-(AJ$24-1-$I74))/6, AJ$24-$I74 =8, (7-(AJ$24-2-$I74))/6*2/3, AJ$24-$I74 =9, (7-(AJ$24-3-$I74))/6*1/3, TRUE, 0) *
IF(ISNUMBER(SEARCH("Ordinance",$L74)),7/6,1) *
IF(OR(ISNUMBER(SEARCH("Melee",$L74)),ISNUMBER(SEARCH("Bypass",$L74))),1.5,1)</f>
        <v>0.55555555555555558</v>
      </c>
      <c r="AK74" s="17" cm="1">
        <f t="array" ref="AK74">$H74 *
IF(ISNUMBER(SEARCH("Rapid",$L74)),7/6,1) *
IF(OR(ISNUMBER(SEARCH("Beam",$L74)),ISNUMBER(SEARCH("Firestorm",$L74))),1, IF(ISNUMBER(SEARCH("Blast",$L74)),(4+$G74+(2-$G74)*0.5)/6*2,(4+$G74)/6)) *
_xlfn.IFS(AK$24-$I74 &lt;=1, 5/6, AK$24-$I74 &lt;=5, (7-(AK$24-$I74))/6, AND(AK$24-$I74 =6,NOT(_xlfn.IFNA(ISNUMBER(SEARCH("Rending",$L74)),FALSE))), (7-(AK$24-$I74))/6, AND(AK$24-$I74 &gt;=7,NOT(_xlfn.IFNA(ISNUMBER(SEARCH("Rending",$L74)),FALSE))), 0, AK$24-$I74 =7, (7-(AK$24-1-$I74))/6, AK$24-$I74 =8, (7-(AK$24-2-$I74))/6*2/3, AK$24-$I74 =9, (7-(AK$24-3-$I74))/6*1/3, TRUE, 0) *
IF(ISNUMBER(SEARCH("Ordinance",$L74)),7/6,1) *
IF(OR(ISNUMBER(SEARCH("Melee",$L74)),ISNUMBER(SEARCH("Bypass",$L74))),1.5,1)</f>
        <v>0.55555555555555558</v>
      </c>
      <c r="AL74" s="17" cm="1">
        <f t="array" ref="AL74">$H74 *
IF(ISNUMBER(SEARCH("Rapid",$L74)),7/6,1) *
IF(OR(ISNUMBER(SEARCH("Beam",$L74)),ISNUMBER(SEARCH("Firestorm",$L74))),1, IF(ISNUMBER(SEARCH("Blast",$L74)),(4+$G74+(2-$G74)*0.5)/6*2,(4+$G74)/6)) *
_xlfn.IFS(AL$24-$I74 &lt;=1, 5/6, AL$24-$I74 &lt;=5, (7-(AL$24-$I74))/6, AND(AL$24-$I74 =6,NOT(_xlfn.IFNA(ISNUMBER(SEARCH("Rending",$L74)),FALSE))), (7-(AL$24-$I74))/6, AND(AL$24-$I74 &gt;=7,NOT(_xlfn.IFNA(ISNUMBER(SEARCH("Rending",$L74)),FALSE))), 0, AL$24-$I74 =7, (7-(AL$24-1-$I74))/6, AL$24-$I74 =8, (7-(AL$24-2-$I74))/6*2/3, AL$24-$I74 =9, (7-(AL$24-3-$I74))/6*1/3, TRUE, 0) *
IF(ISNUMBER(SEARCH("Ordinance",$L74)),7/6,1) *
IF(OR(ISNUMBER(SEARCH("Melee",$L74)),ISNUMBER(SEARCH("Bypass",$L74))),1.5,1)</f>
        <v>0.44444444444444442</v>
      </c>
      <c r="AM74" s="17" cm="1">
        <f t="array" ref="AM74">$H74 *
IF(ISNUMBER(SEARCH("Rapid",$L74)),7/6,1) *
IF(OR(ISNUMBER(SEARCH("Beam",$L74)),ISNUMBER(SEARCH("Firestorm",$L74))),1, IF(ISNUMBER(SEARCH("Blast",$L74)),(4+$G74+(2-$G74)*0.5)/6*2,(4+$G74)/6)) *
_xlfn.IFS(AM$24-$I74 &lt;=1, 5/6, AM$24-$I74 &lt;=5, (7-(AM$24-$I74))/6, AND(AM$24-$I74 =6,NOT(_xlfn.IFNA(ISNUMBER(SEARCH("Rending",$L74)),FALSE))), (7-(AM$24-$I74))/6, AND(AM$24-$I74 &gt;=7,NOT(_xlfn.IFNA(ISNUMBER(SEARCH("Rending",$L74)),FALSE))), 0, AM$24-$I74 =7, (7-(AM$24-1-$I74))/6, AM$24-$I74 =8, (7-(AM$24-2-$I74))/6*2/3, AM$24-$I74 =9, (7-(AM$24-3-$I74))/6*1/3, TRUE, 0) *
IF(ISNUMBER(SEARCH("Ordinance",$L74)),7/6,1) *
IF(OR(ISNUMBER(SEARCH("Melee",$L74)),ISNUMBER(SEARCH("Bypass",$L74))),1.5,1)</f>
        <v>0.33333333333333331</v>
      </c>
      <c r="AN74" s="17" cm="1">
        <f t="array" ref="AN74">$H74 *
IF(ISNUMBER(SEARCH("Rapid",$L74)),7/6,1) *
IF(OR(ISNUMBER(SEARCH("Beam",$L74)),ISNUMBER(SEARCH("Firestorm",$L74))),1, IF(ISNUMBER(SEARCH("Blast",$L74)),(4+$G74+(2-$G74)*0.5)/6*2,(4+$G74)/6)) *
_xlfn.IFS(AN$24-$I74 &lt;=1, 5/6, AN$24-$I74 &lt;=5, (7-(AN$24-$I74))/6, AND(AN$24-$I74 =6,NOT(_xlfn.IFNA(ISNUMBER(SEARCH("Rending",$L74)),FALSE))), (7-(AN$24-$I74))/6, AND(AN$24-$I74 &gt;=7,NOT(_xlfn.IFNA(ISNUMBER(SEARCH("Rending",$L74)),FALSE))), 0, AN$24-$I74 =7, (7-(AN$24-1-$I74))/6, AN$24-$I74 =8, (7-(AN$24-2-$I74))/6*2/3, AN$24-$I74 =9, (7-(AN$24-3-$I74))/6*1/3, TRUE, 0) *
IF(ISNUMBER(SEARCH("Ordinance",$L74)),7/6,1) *
IF(OR(ISNUMBER(SEARCH("Melee",$L74)),ISNUMBER(SEARCH("Bypass",$L74))),1.5,1)</f>
        <v>0.22222222222222221</v>
      </c>
      <c r="AO74" s="17" cm="1">
        <f t="array" ref="AO74">$H74 *
IF(ISNUMBER(SEARCH("Rapid",$L74)),7/6,1) *
IF(OR(ISNUMBER(SEARCH("Beam",$L74)),ISNUMBER(SEARCH("Firestorm",$L74))),1, IF(ISNUMBER(SEARCH("Blast",$L74)),(4+$G74+(2-$G74)*0.5)/6*2,(4+$G74)/6)) *
_xlfn.IFS(AO$24-$I74 &lt;=1, 5/6, AO$24-$I74 &lt;=5, (7-(AO$24-$I74))/6, AND(AO$24-$I74 =6,NOT(_xlfn.IFNA(ISNUMBER(SEARCH("Rending",$L74)),FALSE))), (7-(AO$24-$I74))/6, AND(AO$24-$I74 &gt;=7,NOT(_xlfn.IFNA(ISNUMBER(SEARCH("Rending",$L74)),FALSE))), 0, AO$24-$I74 =7, (7-(AO$24-1-$I74))/6, AO$24-$I74 =8, (7-(AO$24-2-$I74))/6*2/3, AO$24-$I74 =9, (7-(AO$24-3-$I74))/6*1/3, TRUE, 0) *
IF(ISNUMBER(SEARCH("Ordinance",$L74)),7/6,1) *
IF(OR(ISNUMBER(SEARCH("Melee",$L74)),ISNUMBER(SEARCH("Bypass",$L74))),1.5,1)</f>
        <v>0</v>
      </c>
      <c r="AP74" s="17" cm="1">
        <f t="array" ref="AP74">$H74 *
IF(ISNUMBER(SEARCH("Rapid",$L74)),7/6,1) *
IF(OR(ISNUMBER(SEARCH("Beam",$L74)),ISNUMBER(SEARCH("Firestorm",$L74))),1, IF(ISNUMBER(SEARCH("Blast",$L74)),(4+$G74+(2-$G74)*0.5)/6*2,(4+$G74)/6)) *
_xlfn.IFS(AP$24-$I74 &lt;=1, 5/6, AP$24-$I74 &lt;=5, (7-(AP$24-$I74))/6, AND(AP$24-$I74 =6,NOT(_xlfn.IFNA(ISNUMBER(SEARCH("Rending",$L74)),FALSE))), (7-(AP$24-$I74))/6, AND(AP$24-$I74 &gt;=7,NOT(_xlfn.IFNA(ISNUMBER(SEARCH("Rending",$L74)),FALSE))), 0, AP$24-$I74 =7, (7-(AP$24-1-$I74))/6, AP$24-$I74 =8, (7-(AP$24-2-$I74))/6*2/3, AP$24-$I74 =9, (7-(AP$24-3-$I74))/6*1/3, TRUE, 0) *
IF(ISNUMBER(SEARCH("Ordinance",$L74)),7/6,1) *
IF(OR(ISNUMBER(SEARCH("Melee",$L74)),ISNUMBER(SEARCH("Bypass",$L74))),1.5,1)</f>
        <v>0.1111111111111111</v>
      </c>
      <c r="AQ74" s="17" cm="1">
        <f t="array" ref="AQ74">$H74 *
IF(ISNUMBER(SEARCH("Rapid",$L74)),7/6,1) *
IF(OR(ISNUMBER(SEARCH("Beam",$L74)),ISNUMBER(SEARCH("Firestorm",$L74))),1, IF(ISNUMBER(SEARCH("Blast",$L74)),(4+$G74+(2-$G74)*0.5)/6*2,(4+$G74)/6)) *
_xlfn.IFS(AQ$24-$I74 &lt;=1, 5/6, AQ$24-$I74 &lt;=5, (7-(AQ$24-$I74))/6, AND(AQ$24-$I74 =6,NOT(_xlfn.IFNA(ISNUMBER(SEARCH("Rending",$L74)),FALSE))), (7-(AQ$24-$I74))/6, AND(AQ$24-$I74 &gt;=7,NOT(_xlfn.IFNA(ISNUMBER(SEARCH("Rending",$L74)),FALSE))), 0, AQ$24-$I74 =7, (7-(AQ$24-1-$I74))/6, AQ$24-$I74 =8, (7-(AQ$24-2-$I74))/6*2/3, AQ$24-$I74 =9, (7-(AQ$24-3-$I74))/6*1/3, TRUE, 0) *
IF(ISNUMBER(SEARCH("Ordinance",$L74)),7/6,1) *
IF(OR(ISNUMBER(SEARCH("Melee",$L74)),ISNUMBER(SEARCH("Bypass",$L74))),1.5,1)</f>
        <v>7.407407407407407E-2</v>
      </c>
      <c r="AS74" s="16">
        <f t="shared" ref="AS74:AT76" si="24">IF($E74=1,AG74*3,IF($E74=2,2*AG74,1.1*AG74))/3</f>
        <v>0.14814814814814814</v>
      </c>
      <c r="AT74" s="16">
        <f t="shared" si="24"/>
        <v>0.22222222222222221</v>
      </c>
      <c r="AU74" s="16">
        <f>IF(D74+E74=3,
 IF(E74=3, 2.5*AI74,
  IF(E74=2, 1.8*AI74+0.7*X74,
   IF(E74=1, 0.95*AI74+1.55*X74,
    2.5*X74))),
 IF(D74+E74=2,
  IF(E74=2, 1.55*AI74,
   IF(E74 =1, 0.85*AI74+0.7*X74,
    1.55*X74)),
  IF(E74=1, 0.95*AI74,
   0.7*X74))
)/3</f>
        <v>0.46296296296296297</v>
      </c>
      <c r="AV74" s="2">
        <v>11</v>
      </c>
    </row>
    <row r="75" spans="1:48" x14ac:dyDescent="0.3">
      <c r="A75" t="s">
        <v>805</v>
      </c>
      <c r="B75" s="52">
        <v>20</v>
      </c>
      <c r="C75" s="52">
        <v>40</v>
      </c>
      <c r="D75" s="46"/>
      <c r="E75" s="52">
        <v>3</v>
      </c>
      <c r="F75" s="10"/>
      <c r="G75" s="10"/>
      <c r="H75" s="52">
        <v>2</v>
      </c>
      <c r="I75" s="3">
        <v>9</v>
      </c>
      <c r="J75" s="3" t="s">
        <v>215</v>
      </c>
      <c r="K75" s="52">
        <v>25</v>
      </c>
      <c r="L75" s="3" t="s">
        <v>102</v>
      </c>
      <c r="M75" s="3" t="s">
        <v>225</v>
      </c>
      <c r="N75" s="3">
        <v>10</v>
      </c>
      <c r="O75" s="52">
        <v>10</v>
      </c>
      <c r="P75" s="52">
        <v>14</v>
      </c>
      <c r="Q75" s="3" t="s">
        <v>200</v>
      </c>
      <c r="R75" s="3">
        <v>7</v>
      </c>
      <c r="S75" s="3">
        <v>9</v>
      </c>
      <c r="T75" s="52">
        <v>6</v>
      </c>
      <c r="V75" s="16">
        <f t="shared" si="20"/>
        <v>0.44444444444444442</v>
      </c>
      <c r="W75" s="16">
        <f t="shared" si="21"/>
        <v>0.66666666666666663</v>
      </c>
      <c r="X75" s="17" cm="1">
        <f t="array" ref="X75">$H75 *
IF(ISNUMBER(SEARCH("Rapid",$L75)),7/6,1) *
IF(OR(ISNUMBER(SEARCH("Beam",$L75)),ISNUMBER(SEARCH("Firestorm",$L75))),1, IF(ISNUMBER(SEARCH("Blast",$L75)),(4+$F75+(2-$F75)*0.5)/6*2,(4+$F75)/6)) *
IF(ISNUMBER(SEARCH("Fusion",$L75)), _xlfn.IFS(X$24-$I75 &lt;=1, 9/10, X$24-$I75 &lt;=10,(11-(X$24-$I75))/10, X$24-$I75 &gt;=11, 0),
_xlfn.IFS(X$24-$I75 &lt;=1, 5/6, X$24-$I75 &lt;=5, (7-(X$24-$I75))/6, AND(X$24-$I75 =6,NOT(_xlfn.IFNA(ISNUMBER(SEARCH("Rending",$L75)),FALSE))), (7-(X$24-$I75))/6, AND(X$24-$I75 &gt;=7,NOT(_xlfn.IFNA(ISNUMBER(SEARCH("Rending",$L75)),FALSE))), 0, X$24-$I75 =7, (7-(X$24-1-$I75))/6, X$24-$I75 =8, (7-(X$24-2-$I75))/6*2/3, X$24-$I75 =9, (7-(X$24-3-$I75))/6*1/3, TRUE, 0)) *
IF(ISNUMBER(SEARCH("Ordinance",$L75)),7/6,1) *
IF(OR(ISNUMBER(SEARCH("Melee",$L75)),ISNUMBER(SEARCH("Bypass",$L75))),1.5,1)</f>
        <v>1.1111111111111112</v>
      </c>
      <c r="Y75" s="17" cm="1">
        <f t="array" ref="Y75">$H75 *
IF(ISNUMBER(SEARCH("Rapid",$L75)),7/6,1) *
IF(OR(ISNUMBER(SEARCH("Beam",$L75)),ISNUMBER(SEARCH("Firestorm",$L75))),1, IF(ISNUMBER(SEARCH("Blast",$L75)),(4+$F75+(2-$F75)*0.5)/6*2,(4+$F75)/6)) *
IF(ISNUMBER(SEARCH("Fusion",$L75)), _xlfn.IFS(Y$24-$I75 &lt;=1, 9/10, Y$24-$I75 &lt;=10,(11-(Y$24-$I75))/10, Y$24-$I75 &gt;=11, 0),
_xlfn.IFS(Y$24-$I75 &lt;=1, 5/6, Y$24-$I75 &lt;=5, (7-(Y$24-$I75))/6, AND(Y$24-$I75 =6,NOT(_xlfn.IFNA(ISNUMBER(SEARCH("Rending",$L75)),FALSE))), (7-(Y$24-$I75))/6, AND(Y$24-$I75 &gt;=7,NOT(_xlfn.IFNA(ISNUMBER(SEARCH("Rending",$L75)),FALSE))), 0, Y$24-$I75 =7, (7-(Y$24-1-$I75))/6, Y$24-$I75 =8, (7-(Y$24-2-$I75))/6*2/3, Y$24-$I75 =9, (7-(Y$24-3-$I75))/6*1/3, TRUE, 0)) *
IF(ISNUMBER(SEARCH("Ordinance",$L75)),7/6,1) *
IF(OR(ISNUMBER(SEARCH("Melee",$L75)),ISNUMBER(SEARCH("Bypass",$L75))),1.5,1)</f>
        <v>1.1111111111111112</v>
      </c>
      <c r="Z75" s="17" cm="1">
        <f t="array" ref="Z75">$H75 *
IF(ISNUMBER(SEARCH("Rapid",$L75)),7/6,1) *
IF(OR(ISNUMBER(SEARCH("Beam",$L75)),ISNUMBER(SEARCH("Firestorm",$L75))),1, IF(ISNUMBER(SEARCH("Blast",$L75)),(4+$F75+(2-$F75)*0.5)/6*2,(4+$F75)/6)) *
IF(ISNUMBER(SEARCH("Fusion",$L75)), _xlfn.IFS(Z$24-$I75 &lt;=1, 9/10, Z$24-$I75 &lt;=10,(11-(Z$24-$I75))/10, Z$24-$I75 &gt;=11, 0),
_xlfn.IFS(Z$24-$I75 &lt;=1, 5/6, Z$24-$I75 &lt;=5, (7-(Z$24-$I75))/6, AND(Z$24-$I75 =6,NOT(_xlfn.IFNA(ISNUMBER(SEARCH("Rending",$L75)),FALSE))), (7-(Z$24-$I75))/6, AND(Z$24-$I75 &gt;=7,NOT(_xlfn.IFNA(ISNUMBER(SEARCH("Rending",$L75)),FALSE))), 0, Z$24-$I75 =7, (7-(Z$24-1-$I75))/6, Z$24-$I75 =8, (7-(Z$24-2-$I75))/6*2/3, Z$24-$I75 =9, (7-(Z$24-3-$I75))/6*1/3, TRUE, 0)) *
IF(ISNUMBER(SEARCH("Ordinance",$L75)),7/6,1) *
IF(OR(ISNUMBER(SEARCH("Melee",$L75)),ISNUMBER(SEARCH("Bypass",$L75))),1.5,1)</f>
        <v>1.1111111111111112</v>
      </c>
      <c r="AA75" s="17" cm="1">
        <f t="array" ref="AA75">$H75 *
IF(ISNUMBER(SEARCH("Rapid",$L75)),7/6,1) *
IF(OR(ISNUMBER(SEARCH("Beam",$L75)),ISNUMBER(SEARCH("Firestorm",$L75))),1, IF(ISNUMBER(SEARCH("Blast",$L75)),(4+$F75+(2-$F75)*0.5)/6*2,(4+$F75)/6)) *
IF(ISNUMBER(SEARCH("Fusion",$L75)), _xlfn.IFS(AA$24-$I75 &lt;=1, 9/10, AA$24-$I75 &lt;=10,(11-(AA$24-$I75))/10, AA$24-$I75 &gt;=11, 0),
_xlfn.IFS(AA$24-$I75 &lt;=1, 5/6, AA$24-$I75 &lt;=5, (7-(AA$24-$I75))/6, AND(AA$24-$I75 =6,NOT(_xlfn.IFNA(ISNUMBER(SEARCH("Rending",$L75)),FALSE))), (7-(AA$24-$I75))/6, AND(AA$24-$I75 &gt;=7,NOT(_xlfn.IFNA(ISNUMBER(SEARCH("Rending",$L75)),FALSE))), 0, AA$24-$I75 =7, (7-(AA$24-1-$I75))/6, AA$24-$I75 =8, (7-(AA$24-2-$I75))/6*2/3, AA$24-$I75 =9, (7-(AA$24-3-$I75))/6*1/3, TRUE, 0)) *
IF(ISNUMBER(SEARCH("Ordinance",$L75)),7/6,1) *
IF(OR(ISNUMBER(SEARCH("Melee",$L75)),ISNUMBER(SEARCH("Bypass",$L75))),1.5,1)</f>
        <v>0.88888888888888884</v>
      </c>
      <c r="AB75" s="17" cm="1">
        <f t="array" ref="AB75">$H75 *
IF(ISNUMBER(SEARCH("Rapid",$L75)),7/6,1) *
IF(OR(ISNUMBER(SEARCH("Beam",$L75)),ISNUMBER(SEARCH("Firestorm",$L75))),1, IF(ISNUMBER(SEARCH("Blast",$L75)),(4+$F75+(2-$F75)*0.5)/6*2,(4+$F75)/6)) *
IF(ISNUMBER(SEARCH("Fusion",$L75)), _xlfn.IFS(AB$24-$I75 &lt;=1, 9/10, AB$24-$I75 &lt;=10,(11-(AB$24-$I75))/10, AB$24-$I75 &gt;=11, 0),
_xlfn.IFS(AB$24-$I75 &lt;=1, 5/6, AB$24-$I75 &lt;=5, (7-(AB$24-$I75))/6, AND(AB$24-$I75 =6,NOT(_xlfn.IFNA(ISNUMBER(SEARCH("Rending",$L75)),FALSE))), (7-(AB$24-$I75))/6, AND(AB$24-$I75 &gt;=7,NOT(_xlfn.IFNA(ISNUMBER(SEARCH("Rending",$L75)),FALSE))), 0, AB$24-$I75 =7, (7-(AB$24-1-$I75))/6, AB$24-$I75 =8, (7-(AB$24-2-$I75))/6*2/3, AB$24-$I75 =9, (7-(AB$24-3-$I75))/6*1/3, TRUE, 0)) *
IF(ISNUMBER(SEARCH("Ordinance",$L75)),7/6,1) *
IF(OR(ISNUMBER(SEARCH("Melee",$L75)),ISNUMBER(SEARCH("Bypass",$L75))),1.5,1)</f>
        <v>0.66666666666666663</v>
      </c>
      <c r="AC75" s="17" cm="1">
        <f t="array" ref="AC75">$H75 *
IF(ISNUMBER(SEARCH("Rapid",$L75)),7/6,1) *
IF(OR(ISNUMBER(SEARCH("Beam",$L75)),ISNUMBER(SEARCH("Firestorm",$L75))),1, IF(ISNUMBER(SEARCH("Blast",$L75)),(4+$F75+(2-$F75)*0.5)/6*2,(4+$F75)/6)) *
IF(ISNUMBER(SEARCH("Fusion",$L75)), _xlfn.IFS(AC$24-$I75 &lt;=1, 9/10, AC$24-$I75 &lt;=10,(11-(AC$24-$I75))/10, AC$24-$I75 &gt;=11, 0),
_xlfn.IFS(AC$24-$I75 &lt;=1, 5/6, AC$24-$I75 &lt;=5, (7-(AC$24-$I75))/6, AND(AC$24-$I75 =6,NOT(_xlfn.IFNA(ISNUMBER(SEARCH("Rending",$L75)),FALSE))), (7-(AC$24-$I75))/6, AND(AC$24-$I75 &gt;=7,NOT(_xlfn.IFNA(ISNUMBER(SEARCH("Rending",$L75)),FALSE))), 0, AC$24-$I75 =7, (7-(AC$24-1-$I75))/6, AC$24-$I75 =8, (7-(AC$24-2-$I75))/6*2/3, AC$24-$I75 =9, (7-(AC$24-3-$I75))/6*1/3, TRUE, 0)) *
IF(ISNUMBER(SEARCH("Ordinance",$L75)),7/6,1) *
IF(OR(ISNUMBER(SEARCH("Melee",$L75)),ISNUMBER(SEARCH("Bypass",$L75))),1.5,1)</f>
        <v>0.44444444444444442</v>
      </c>
      <c r="AD75" s="17" cm="1">
        <f t="array" ref="AD75">$H75 *
IF(ISNUMBER(SEARCH("Rapid",$L75)),7/6,1) *
IF(OR(ISNUMBER(SEARCH("Beam",$L75)),ISNUMBER(SEARCH("Firestorm",$L75))),1, IF(ISNUMBER(SEARCH("Blast",$L75)),(4+$F75+(2-$F75)*0.5)/6*2,(4+$F75)/6)) *
IF(ISNUMBER(SEARCH("Fusion",$L75)), _xlfn.IFS(AD$24-$I75 &lt;=1, 9/10, AD$24-$I75 &lt;=10,(11-(AD$24-$I75))/10, AD$24-$I75 &gt;=11, 0),
_xlfn.IFS(AD$24-$I75 &lt;=1, 5/6, AD$24-$I75 &lt;=5, (7-(AD$24-$I75))/6, AND(AD$24-$I75 =6,NOT(_xlfn.IFNA(ISNUMBER(SEARCH("Rending",$L75)),FALSE))), (7-(AD$24-$I75))/6, AND(AD$24-$I75 &gt;=7,NOT(_xlfn.IFNA(ISNUMBER(SEARCH("Rending",$L75)),FALSE))), 0, AD$24-$I75 =7, (7-(AD$24-1-$I75))/6, AD$24-$I75 =8, (7-(AD$24-2-$I75))/6*2/3, AD$24-$I75 =9, (7-(AD$24-3-$I75))/6*1/3, TRUE, 0)) *
IF(ISNUMBER(SEARCH("Ordinance",$L75)),7/6,1) *
IF(OR(ISNUMBER(SEARCH("Melee",$L75)),ISNUMBER(SEARCH("Bypass",$L75))),1.5,1)</f>
        <v>0.22222222222222221</v>
      </c>
      <c r="AE75" s="17" cm="1">
        <f t="array" ref="AE75">$H75 *
IF(ISNUMBER(SEARCH("Rapid",$L75)),7/6,1) *
IF(OR(ISNUMBER(SEARCH("Beam",$L75)),ISNUMBER(SEARCH("Firestorm",$L75))),1, IF(ISNUMBER(SEARCH("Blast",$L75)),(4+$F75+(2-$F75)*0.5)/6*2,(4+$F75)/6)) *
IF(ISNUMBER(SEARCH("Fusion",$L75)), _xlfn.IFS(AE$24-$I75 &lt;=1, 9/10, AE$24-$I75 &lt;=10,(11-(AE$24-$I75))/10, AE$24-$I75 &gt;=11, 0),
_xlfn.IFS(AE$24-$I75 &lt;=1, 5/6, AE$24-$I75 &lt;=5, (7-(AE$24-$I75))/6, AND(AE$24-$I75 =6,NOT(_xlfn.IFNA(ISNUMBER(SEARCH("Rending",$L75)),FALSE))), (7-(AE$24-$I75))/6, AND(AE$24-$I75 &gt;=7,NOT(_xlfn.IFNA(ISNUMBER(SEARCH("Rending",$L75)),FALSE))), 0, AE$24-$I75 =7, (7-(AE$24-1-$I75))/6, AE$24-$I75 =8, (7-(AE$24-2-$I75))/6*2/3, AE$24-$I75 =9, (7-(AE$24-3-$I75))/6*1/3, TRUE, 0)) *
IF(ISNUMBER(SEARCH("Ordinance",$L75)),7/6,1) *
IF(OR(ISNUMBER(SEARCH("Melee",$L75)),ISNUMBER(SEARCH("Bypass",$L75))),1.5,1)</f>
        <v>0</v>
      </c>
      <c r="AF75" s="17" cm="1">
        <f t="array" ref="AF75">$H75 *
IF(ISNUMBER(SEARCH("Rapid",$L75)),7/6,1) *
IF(OR(ISNUMBER(SEARCH("Beam",$L75)),ISNUMBER(SEARCH("Firestorm",$L75))),1, IF(ISNUMBER(SEARCH("Blast",$L75)),(4+$F75+(2-$F75)*0.5)/6*2,(4+$F75)/6)) *
IF(ISNUMBER(SEARCH("Fusion",$L75)), _xlfn.IFS(AF$24-$I75 &lt;=1, 9/10, AF$24-$I75 &lt;=10,(11-(AF$24-$I75))/10, AF$24-$I75 &gt;=11, 0),
_xlfn.IFS(AF$24-$I75 &lt;=1, 5/6, AF$24-$I75 &lt;=5, (7-(AF$24-$I75))/6, AND(AF$24-$I75 =6,NOT(_xlfn.IFNA(ISNUMBER(SEARCH("Rending",$L75)),FALSE))), (7-(AF$24-$I75))/6, AND(AF$24-$I75 &gt;=7,NOT(_xlfn.IFNA(ISNUMBER(SEARCH("Rending",$L75)),FALSE))), 0, AF$24-$I75 =7, (7-(AF$24-1-$I75))/6, AF$24-$I75 =8, (7-(AF$24-2-$I75))/6*2/3, AF$24-$I75 =9, (7-(AF$24-3-$I75))/6*1/3, TRUE, 0)) *
IF(ISNUMBER(SEARCH("Ordinance",$L75)),7/6,1) *
IF(OR(ISNUMBER(SEARCH("Melee",$L75)),ISNUMBER(SEARCH("Bypass",$L75))),1.5,1)</f>
        <v>0</v>
      </c>
      <c r="AG75" s="16">
        <f t="shared" si="22"/>
        <v>0.44444444444444442</v>
      </c>
      <c r="AH75" s="16">
        <f t="shared" si="23"/>
        <v>0.66666666666666663</v>
      </c>
      <c r="AI75" s="17" cm="1">
        <f t="array" ref="AI75">$H75 *
IF(ISNUMBER(SEARCH("Rapid",$L75)),7/6,1) *
IF(OR(ISNUMBER(SEARCH("Beam",$L75)),ISNUMBER(SEARCH("Firestorm",$L75))),1, IF(ISNUMBER(SEARCH("Blast",$L75)),(4+$G75+(2-$G75)*0.5)/6*2,(4+$G75)/6)) *
_xlfn.IFS(AI$24-$I75 &lt;=1, 5/6, AI$24-$I75 &lt;=5, (7-(AI$24-$I75))/6, AND(AI$24-$I75 =6,NOT(_xlfn.IFNA(ISNUMBER(SEARCH("Rending",$L75)),FALSE))), (7-(AI$24-$I75))/6, AND(AI$24-$I75 &gt;=7,NOT(_xlfn.IFNA(ISNUMBER(SEARCH("Rending",$L75)),FALSE))), 0, AI$24-$I75 =7, (7-(AI$24-1-$I75))/6, AI$24-$I75 =8, (7-(AI$24-2-$I75))/6*2/3, AI$24-$I75 =9, (7-(AI$24-3-$I75))/6*1/3, TRUE, 0) *
IF(ISNUMBER(SEARCH("Ordinance",$L75)),7/6,1) *
IF(OR(ISNUMBER(SEARCH("Melee",$L75)),ISNUMBER(SEARCH("Bypass",$L75))),1.5,1)</f>
        <v>1.1111111111111112</v>
      </c>
      <c r="AJ75" s="17" cm="1">
        <f t="array" ref="AJ75">$H75 *
IF(ISNUMBER(SEARCH("Rapid",$L75)),7/6,1) *
IF(OR(ISNUMBER(SEARCH("Beam",$L75)),ISNUMBER(SEARCH("Firestorm",$L75))),1, IF(ISNUMBER(SEARCH("Blast",$L75)),(4+$G75+(2-$G75)*0.5)/6*2,(4+$G75)/6)) *
_xlfn.IFS(AJ$24-$I75 &lt;=1, 5/6, AJ$24-$I75 &lt;=5, (7-(AJ$24-$I75))/6, AND(AJ$24-$I75 =6,NOT(_xlfn.IFNA(ISNUMBER(SEARCH("Rending",$L75)),FALSE))), (7-(AJ$24-$I75))/6, AND(AJ$24-$I75 &gt;=7,NOT(_xlfn.IFNA(ISNUMBER(SEARCH("Rending",$L75)),FALSE))), 0, AJ$24-$I75 =7, (7-(AJ$24-1-$I75))/6, AJ$24-$I75 =8, (7-(AJ$24-2-$I75))/6*2/3, AJ$24-$I75 =9, (7-(AJ$24-3-$I75))/6*1/3, TRUE, 0) *
IF(ISNUMBER(SEARCH("Ordinance",$L75)),7/6,1) *
IF(OR(ISNUMBER(SEARCH("Melee",$L75)),ISNUMBER(SEARCH("Bypass",$L75))),1.5,1)</f>
        <v>1.1111111111111112</v>
      </c>
      <c r="AK75" s="17" cm="1">
        <f t="array" ref="AK75">$H75 *
IF(ISNUMBER(SEARCH("Rapid",$L75)),7/6,1) *
IF(OR(ISNUMBER(SEARCH("Beam",$L75)),ISNUMBER(SEARCH("Firestorm",$L75))),1, IF(ISNUMBER(SEARCH("Blast",$L75)),(4+$G75+(2-$G75)*0.5)/6*2,(4+$G75)/6)) *
_xlfn.IFS(AK$24-$I75 &lt;=1, 5/6, AK$24-$I75 &lt;=5, (7-(AK$24-$I75))/6, AND(AK$24-$I75 =6,NOT(_xlfn.IFNA(ISNUMBER(SEARCH("Rending",$L75)),FALSE))), (7-(AK$24-$I75))/6, AND(AK$24-$I75 &gt;=7,NOT(_xlfn.IFNA(ISNUMBER(SEARCH("Rending",$L75)),FALSE))), 0, AK$24-$I75 =7, (7-(AK$24-1-$I75))/6, AK$24-$I75 =8, (7-(AK$24-2-$I75))/6*2/3, AK$24-$I75 =9, (7-(AK$24-3-$I75))/6*1/3, TRUE, 0) *
IF(ISNUMBER(SEARCH("Ordinance",$L75)),7/6,1) *
IF(OR(ISNUMBER(SEARCH("Melee",$L75)),ISNUMBER(SEARCH("Bypass",$L75))),1.5,1)</f>
        <v>1.1111111111111112</v>
      </c>
      <c r="AL75" s="17" cm="1">
        <f t="array" ref="AL75">$H75 *
IF(ISNUMBER(SEARCH("Rapid",$L75)),7/6,1) *
IF(OR(ISNUMBER(SEARCH("Beam",$L75)),ISNUMBER(SEARCH("Firestorm",$L75))),1, IF(ISNUMBER(SEARCH("Blast",$L75)),(4+$G75+(2-$G75)*0.5)/6*2,(4+$G75)/6)) *
_xlfn.IFS(AL$24-$I75 &lt;=1, 5/6, AL$24-$I75 &lt;=5, (7-(AL$24-$I75))/6, AND(AL$24-$I75 =6,NOT(_xlfn.IFNA(ISNUMBER(SEARCH("Rending",$L75)),FALSE))), (7-(AL$24-$I75))/6, AND(AL$24-$I75 &gt;=7,NOT(_xlfn.IFNA(ISNUMBER(SEARCH("Rending",$L75)),FALSE))), 0, AL$24-$I75 =7, (7-(AL$24-1-$I75))/6, AL$24-$I75 =8, (7-(AL$24-2-$I75))/6*2/3, AL$24-$I75 =9, (7-(AL$24-3-$I75))/6*1/3, TRUE, 0) *
IF(ISNUMBER(SEARCH("Ordinance",$L75)),7/6,1) *
IF(OR(ISNUMBER(SEARCH("Melee",$L75)),ISNUMBER(SEARCH("Bypass",$L75))),1.5,1)</f>
        <v>0.88888888888888884</v>
      </c>
      <c r="AM75" s="17" cm="1">
        <f t="array" ref="AM75">$H75 *
IF(ISNUMBER(SEARCH("Rapid",$L75)),7/6,1) *
IF(OR(ISNUMBER(SEARCH("Beam",$L75)),ISNUMBER(SEARCH("Firestorm",$L75))),1, IF(ISNUMBER(SEARCH("Blast",$L75)),(4+$G75+(2-$G75)*0.5)/6*2,(4+$G75)/6)) *
_xlfn.IFS(AM$24-$I75 &lt;=1, 5/6, AM$24-$I75 &lt;=5, (7-(AM$24-$I75))/6, AND(AM$24-$I75 =6,NOT(_xlfn.IFNA(ISNUMBER(SEARCH("Rending",$L75)),FALSE))), (7-(AM$24-$I75))/6, AND(AM$24-$I75 &gt;=7,NOT(_xlfn.IFNA(ISNUMBER(SEARCH("Rending",$L75)),FALSE))), 0, AM$24-$I75 =7, (7-(AM$24-1-$I75))/6, AM$24-$I75 =8, (7-(AM$24-2-$I75))/6*2/3, AM$24-$I75 =9, (7-(AM$24-3-$I75))/6*1/3, TRUE, 0) *
IF(ISNUMBER(SEARCH("Ordinance",$L75)),7/6,1) *
IF(OR(ISNUMBER(SEARCH("Melee",$L75)),ISNUMBER(SEARCH("Bypass",$L75))),1.5,1)</f>
        <v>0.66666666666666663</v>
      </c>
      <c r="AN75" s="17" cm="1">
        <f t="array" ref="AN75">$H75 *
IF(ISNUMBER(SEARCH("Rapid",$L75)),7/6,1) *
IF(OR(ISNUMBER(SEARCH("Beam",$L75)),ISNUMBER(SEARCH("Firestorm",$L75))),1, IF(ISNUMBER(SEARCH("Blast",$L75)),(4+$G75+(2-$G75)*0.5)/6*2,(4+$G75)/6)) *
_xlfn.IFS(AN$24-$I75 &lt;=1, 5/6, AN$24-$I75 &lt;=5, (7-(AN$24-$I75))/6, AND(AN$24-$I75 =6,NOT(_xlfn.IFNA(ISNUMBER(SEARCH("Rending",$L75)),FALSE))), (7-(AN$24-$I75))/6, AND(AN$24-$I75 &gt;=7,NOT(_xlfn.IFNA(ISNUMBER(SEARCH("Rending",$L75)),FALSE))), 0, AN$24-$I75 =7, (7-(AN$24-1-$I75))/6, AN$24-$I75 =8, (7-(AN$24-2-$I75))/6*2/3, AN$24-$I75 =9, (7-(AN$24-3-$I75))/6*1/3, TRUE, 0) *
IF(ISNUMBER(SEARCH("Ordinance",$L75)),7/6,1) *
IF(OR(ISNUMBER(SEARCH("Melee",$L75)),ISNUMBER(SEARCH("Bypass",$L75))),1.5,1)</f>
        <v>0.44444444444444442</v>
      </c>
      <c r="AO75" s="17" cm="1">
        <f t="array" ref="AO75">$H75 *
IF(ISNUMBER(SEARCH("Rapid",$L75)),7/6,1) *
IF(OR(ISNUMBER(SEARCH("Beam",$L75)),ISNUMBER(SEARCH("Firestorm",$L75))),1, IF(ISNUMBER(SEARCH("Blast",$L75)),(4+$G75+(2-$G75)*0.5)/6*2,(4+$G75)/6)) *
_xlfn.IFS(AO$24-$I75 &lt;=1, 5/6, AO$24-$I75 &lt;=5, (7-(AO$24-$I75))/6, AND(AO$24-$I75 =6,NOT(_xlfn.IFNA(ISNUMBER(SEARCH("Rending",$L75)),FALSE))), (7-(AO$24-$I75))/6, AND(AO$24-$I75 &gt;=7,NOT(_xlfn.IFNA(ISNUMBER(SEARCH("Rending",$L75)),FALSE))), 0, AO$24-$I75 =7, (7-(AO$24-1-$I75))/6, AO$24-$I75 =8, (7-(AO$24-2-$I75))/6*2/3, AO$24-$I75 =9, (7-(AO$24-3-$I75))/6*1/3, TRUE, 0) *
IF(ISNUMBER(SEARCH("Ordinance",$L75)),7/6,1) *
IF(OR(ISNUMBER(SEARCH("Melee",$L75)),ISNUMBER(SEARCH("Bypass",$L75))),1.5,1)</f>
        <v>0.22222222222222221</v>
      </c>
      <c r="AP75" s="17" cm="1">
        <f t="array" ref="AP75">$H75 *
IF(ISNUMBER(SEARCH("Rapid",$L75)),7/6,1) *
IF(OR(ISNUMBER(SEARCH("Beam",$L75)),ISNUMBER(SEARCH("Firestorm",$L75))),1, IF(ISNUMBER(SEARCH("Blast",$L75)),(4+$G75+(2-$G75)*0.5)/6*2,(4+$G75)/6)) *
_xlfn.IFS(AP$24-$I75 &lt;=1, 5/6, AP$24-$I75 &lt;=5, (7-(AP$24-$I75))/6, AND(AP$24-$I75 =6,NOT(_xlfn.IFNA(ISNUMBER(SEARCH("Rending",$L75)),FALSE))), (7-(AP$24-$I75))/6, AND(AP$24-$I75 &gt;=7,NOT(_xlfn.IFNA(ISNUMBER(SEARCH("Rending",$L75)),FALSE))), 0, AP$24-$I75 =7, (7-(AP$24-1-$I75))/6, AP$24-$I75 =8, (7-(AP$24-2-$I75))/6*2/3, AP$24-$I75 =9, (7-(AP$24-3-$I75))/6*1/3, TRUE, 0) *
IF(ISNUMBER(SEARCH("Ordinance",$L75)),7/6,1) *
IF(OR(ISNUMBER(SEARCH("Melee",$L75)),ISNUMBER(SEARCH("Bypass",$L75))),1.5,1)</f>
        <v>0</v>
      </c>
      <c r="AQ75" s="17" cm="1">
        <f t="array" ref="AQ75">$H75 *
IF(ISNUMBER(SEARCH("Rapid",$L75)),7/6,1) *
IF(OR(ISNUMBER(SEARCH("Beam",$L75)),ISNUMBER(SEARCH("Firestorm",$L75))),1, IF(ISNUMBER(SEARCH("Blast",$L75)),(4+$G75+(2-$G75)*0.5)/6*2,(4+$G75)/6)) *
_xlfn.IFS(AQ$24-$I75 &lt;=1, 5/6, AQ$24-$I75 &lt;=5, (7-(AQ$24-$I75))/6, AND(AQ$24-$I75 =6,NOT(_xlfn.IFNA(ISNUMBER(SEARCH("Rending",$L75)),FALSE))), (7-(AQ$24-$I75))/6, AND(AQ$24-$I75 &gt;=7,NOT(_xlfn.IFNA(ISNUMBER(SEARCH("Rending",$L75)),FALSE))), 0, AQ$24-$I75 =7, (7-(AQ$24-1-$I75))/6, AQ$24-$I75 =8, (7-(AQ$24-2-$I75))/6*2/3, AQ$24-$I75 =9, (7-(AQ$24-3-$I75))/6*1/3, TRUE, 0) *
IF(ISNUMBER(SEARCH("Ordinance",$L75)),7/6,1) *
IF(OR(ISNUMBER(SEARCH("Melee",$L75)),ISNUMBER(SEARCH("Bypass",$L75))),1.5,1)</f>
        <v>0</v>
      </c>
      <c r="AS75" s="16">
        <f t="shared" si="24"/>
        <v>0.16296296296296298</v>
      </c>
      <c r="AT75" s="16">
        <f t="shared" si="24"/>
        <v>0.24444444444444446</v>
      </c>
      <c r="AU75" s="16">
        <f>IF(D75+E75=3,
 IF(E75=3, 2.5*AI75,
  IF(E75=2, 1.8*AI75+0.7*X75,
   IF(E75=1, 0.95*AI75+1.55*X75,
    2.5*X75))),
 IF(D75+E75=2,
  IF(E75=2, 1.55*AI75,
   IF(E75 =1, 0.85*AI75+0.7*X75,
    1.55*X75)),
  IF(E75=1, 0.95*AI75,
   0.7*X75))
)/3</f>
        <v>0.92592592592592593</v>
      </c>
      <c r="AV75" s="2">
        <v>10</v>
      </c>
    </row>
    <row r="76" spans="1:48" x14ac:dyDescent="0.3">
      <c r="A76" t="s">
        <v>806</v>
      </c>
      <c r="B76" s="52">
        <v>20</v>
      </c>
      <c r="C76" s="52">
        <v>40</v>
      </c>
      <c r="D76" s="46"/>
      <c r="E76" s="52">
        <v>3</v>
      </c>
      <c r="F76" s="10"/>
      <c r="G76" s="10"/>
      <c r="H76" s="52">
        <v>2</v>
      </c>
      <c r="I76" s="3">
        <v>11</v>
      </c>
      <c r="J76" s="3" t="s">
        <v>215</v>
      </c>
      <c r="K76" s="52">
        <v>25</v>
      </c>
      <c r="L76" s="3" t="s">
        <v>804</v>
      </c>
      <c r="M76" s="3" t="s">
        <v>225</v>
      </c>
      <c r="N76" s="3">
        <v>10</v>
      </c>
      <c r="O76" s="52">
        <v>10</v>
      </c>
      <c r="P76" s="52">
        <v>14</v>
      </c>
      <c r="Q76" s="3" t="s">
        <v>200</v>
      </c>
      <c r="R76" s="3">
        <v>7</v>
      </c>
      <c r="S76" s="3">
        <v>9</v>
      </c>
      <c r="T76" s="52">
        <v>6</v>
      </c>
      <c r="V76" s="16">
        <f t="shared" si="20"/>
        <v>0.44444444444444442</v>
      </c>
      <c r="W76" s="16">
        <f t="shared" si="21"/>
        <v>0.66666666666666663</v>
      </c>
      <c r="X76" s="17" cm="1">
        <f t="array" ref="X76">$H76 *
IF(ISNUMBER(SEARCH("Rapid",$L76)),7/6,1) *
IF(OR(ISNUMBER(SEARCH("Beam",$L76)),ISNUMBER(SEARCH("Firestorm",$L76))),1, IF(ISNUMBER(SEARCH("Blast",$L76)),(4+$F76+(2-$F76)*0.5)/6*2,(4+$F76)/6)) *
IF(ISNUMBER(SEARCH("Fusion",$L76)), _xlfn.IFS(X$24-$I76 &lt;=1, 9/10, X$24-$I76 &lt;=10,(11-(X$24-$I76))/10, X$24-$I76 &gt;=11, 0),
_xlfn.IFS(X$24-$I76 &lt;=1, 5/6, X$24-$I76 &lt;=5, (7-(X$24-$I76))/6, AND(X$24-$I76 =6,NOT(_xlfn.IFNA(ISNUMBER(SEARCH("Rending",$L76)),FALSE))), (7-(X$24-$I76))/6, AND(X$24-$I76 &gt;=7,NOT(_xlfn.IFNA(ISNUMBER(SEARCH("Rending",$L76)),FALSE))), 0, X$24-$I76 =7, (7-(X$24-1-$I76))/6, X$24-$I76 =8, (7-(X$24-2-$I76))/6*2/3, X$24-$I76 =9, (7-(X$24-3-$I76))/6*1/3, TRUE, 0)) *
IF(ISNUMBER(SEARCH("Ordinance",$L76)),7/6,1) *
IF(OR(ISNUMBER(SEARCH("Melee",$L76)),ISNUMBER(SEARCH("Bypass",$L76))),1.5,1)</f>
        <v>1.1111111111111112</v>
      </c>
      <c r="Y76" s="17" cm="1">
        <f t="array" ref="Y76">$H76 *
IF(ISNUMBER(SEARCH("Rapid",$L76)),7/6,1) *
IF(OR(ISNUMBER(SEARCH("Beam",$L76)),ISNUMBER(SEARCH("Firestorm",$L76))),1, IF(ISNUMBER(SEARCH("Blast",$L76)),(4+$F76+(2-$F76)*0.5)/6*2,(4+$F76)/6)) *
IF(ISNUMBER(SEARCH("Fusion",$L76)), _xlfn.IFS(Y$24-$I76 &lt;=1, 9/10, Y$24-$I76 &lt;=10,(11-(Y$24-$I76))/10, Y$24-$I76 &gt;=11, 0),
_xlfn.IFS(Y$24-$I76 &lt;=1, 5/6, Y$24-$I76 &lt;=5, (7-(Y$24-$I76))/6, AND(Y$24-$I76 =6,NOT(_xlfn.IFNA(ISNUMBER(SEARCH("Rending",$L76)),FALSE))), (7-(Y$24-$I76))/6, AND(Y$24-$I76 &gt;=7,NOT(_xlfn.IFNA(ISNUMBER(SEARCH("Rending",$L76)),FALSE))), 0, Y$24-$I76 =7, (7-(Y$24-1-$I76))/6, Y$24-$I76 =8, (7-(Y$24-2-$I76))/6*2/3, Y$24-$I76 =9, (7-(Y$24-3-$I76))/6*1/3, TRUE, 0)) *
IF(ISNUMBER(SEARCH("Ordinance",$L76)),7/6,1) *
IF(OR(ISNUMBER(SEARCH("Melee",$L76)),ISNUMBER(SEARCH("Bypass",$L76))),1.5,1)</f>
        <v>1.1111111111111112</v>
      </c>
      <c r="Z76" s="17" cm="1">
        <f t="array" ref="Z76">$H76 *
IF(ISNUMBER(SEARCH("Rapid",$L76)),7/6,1) *
IF(OR(ISNUMBER(SEARCH("Beam",$L76)),ISNUMBER(SEARCH("Firestorm",$L76))),1, IF(ISNUMBER(SEARCH("Blast",$L76)),(4+$F76+(2-$F76)*0.5)/6*2,(4+$F76)/6)) *
IF(ISNUMBER(SEARCH("Fusion",$L76)), _xlfn.IFS(Z$24-$I76 &lt;=1, 9/10, Z$24-$I76 &lt;=10,(11-(Z$24-$I76))/10, Z$24-$I76 &gt;=11, 0),
_xlfn.IFS(Z$24-$I76 &lt;=1, 5/6, Z$24-$I76 &lt;=5, (7-(Z$24-$I76))/6, AND(Z$24-$I76 =6,NOT(_xlfn.IFNA(ISNUMBER(SEARCH("Rending",$L76)),FALSE))), (7-(Z$24-$I76))/6, AND(Z$24-$I76 &gt;=7,NOT(_xlfn.IFNA(ISNUMBER(SEARCH("Rending",$L76)),FALSE))), 0, Z$24-$I76 =7, (7-(Z$24-1-$I76))/6, Z$24-$I76 =8, (7-(Z$24-2-$I76))/6*2/3, Z$24-$I76 =9, (7-(Z$24-3-$I76))/6*1/3, TRUE, 0)) *
IF(ISNUMBER(SEARCH("Ordinance",$L76)),7/6,1) *
IF(OR(ISNUMBER(SEARCH("Melee",$L76)),ISNUMBER(SEARCH("Bypass",$L76))),1.5,1)</f>
        <v>1.1111111111111112</v>
      </c>
      <c r="AA76" s="17" cm="1">
        <f t="array" ref="AA76">$H76 *
IF(ISNUMBER(SEARCH("Rapid",$L76)),7/6,1) *
IF(OR(ISNUMBER(SEARCH("Beam",$L76)),ISNUMBER(SEARCH("Firestorm",$L76))),1, IF(ISNUMBER(SEARCH("Blast",$L76)),(4+$F76+(2-$F76)*0.5)/6*2,(4+$F76)/6)) *
IF(ISNUMBER(SEARCH("Fusion",$L76)), _xlfn.IFS(AA$24-$I76 &lt;=1, 9/10, AA$24-$I76 &lt;=10,(11-(AA$24-$I76))/10, AA$24-$I76 &gt;=11, 0),
_xlfn.IFS(AA$24-$I76 &lt;=1, 5/6, AA$24-$I76 &lt;=5, (7-(AA$24-$I76))/6, AND(AA$24-$I76 =6,NOT(_xlfn.IFNA(ISNUMBER(SEARCH("Rending",$L76)),FALSE))), (7-(AA$24-$I76))/6, AND(AA$24-$I76 &gt;=7,NOT(_xlfn.IFNA(ISNUMBER(SEARCH("Rending",$L76)),FALSE))), 0, AA$24-$I76 =7, (7-(AA$24-1-$I76))/6, AA$24-$I76 =8, (7-(AA$24-2-$I76))/6*2/3, AA$24-$I76 =9, (7-(AA$24-3-$I76))/6*1/3, TRUE, 0)) *
IF(ISNUMBER(SEARCH("Ordinance",$L76)),7/6,1) *
IF(OR(ISNUMBER(SEARCH("Melee",$L76)),ISNUMBER(SEARCH("Bypass",$L76))),1.5,1)</f>
        <v>1.1111111111111112</v>
      </c>
      <c r="AB76" s="17" cm="1">
        <f t="array" ref="AB76">$H76 *
IF(ISNUMBER(SEARCH("Rapid",$L76)),7/6,1) *
IF(OR(ISNUMBER(SEARCH("Beam",$L76)),ISNUMBER(SEARCH("Firestorm",$L76))),1, IF(ISNUMBER(SEARCH("Blast",$L76)),(4+$F76+(2-$F76)*0.5)/6*2,(4+$F76)/6)) *
IF(ISNUMBER(SEARCH("Fusion",$L76)), _xlfn.IFS(AB$24-$I76 &lt;=1, 9/10, AB$24-$I76 &lt;=10,(11-(AB$24-$I76))/10, AB$24-$I76 &gt;=11, 0),
_xlfn.IFS(AB$24-$I76 &lt;=1, 5/6, AB$24-$I76 &lt;=5, (7-(AB$24-$I76))/6, AND(AB$24-$I76 =6,NOT(_xlfn.IFNA(ISNUMBER(SEARCH("Rending",$L76)),FALSE))), (7-(AB$24-$I76))/6, AND(AB$24-$I76 &gt;=7,NOT(_xlfn.IFNA(ISNUMBER(SEARCH("Rending",$L76)),FALSE))), 0, AB$24-$I76 =7, (7-(AB$24-1-$I76))/6, AB$24-$I76 =8, (7-(AB$24-2-$I76))/6*2/3, AB$24-$I76 =9, (7-(AB$24-3-$I76))/6*1/3, TRUE, 0)) *
IF(ISNUMBER(SEARCH("Ordinance",$L76)),7/6,1) *
IF(OR(ISNUMBER(SEARCH("Melee",$L76)),ISNUMBER(SEARCH("Bypass",$L76))),1.5,1)</f>
        <v>1.1111111111111112</v>
      </c>
      <c r="AC76" s="17" cm="1">
        <f t="array" ref="AC76">$H76 *
IF(ISNUMBER(SEARCH("Rapid",$L76)),7/6,1) *
IF(OR(ISNUMBER(SEARCH("Beam",$L76)),ISNUMBER(SEARCH("Firestorm",$L76))),1, IF(ISNUMBER(SEARCH("Blast",$L76)),(4+$F76+(2-$F76)*0.5)/6*2,(4+$F76)/6)) *
IF(ISNUMBER(SEARCH("Fusion",$L76)), _xlfn.IFS(AC$24-$I76 &lt;=1, 9/10, AC$24-$I76 &lt;=10,(11-(AC$24-$I76))/10, AC$24-$I76 &gt;=11, 0),
_xlfn.IFS(AC$24-$I76 &lt;=1, 5/6, AC$24-$I76 &lt;=5, (7-(AC$24-$I76))/6, AND(AC$24-$I76 =6,NOT(_xlfn.IFNA(ISNUMBER(SEARCH("Rending",$L76)),FALSE))), (7-(AC$24-$I76))/6, AND(AC$24-$I76 &gt;=7,NOT(_xlfn.IFNA(ISNUMBER(SEARCH("Rending",$L76)),FALSE))), 0, AC$24-$I76 =7, (7-(AC$24-1-$I76))/6, AC$24-$I76 =8, (7-(AC$24-2-$I76))/6*2/3, AC$24-$I76 =9, (7-(AC$24-3-$I76))/6*1/3, TRUE, 0)) *
IF(ISNUMBER(SEARCH("Ordinance",$L76)),7/6,1) *
IF(OR(ISNUMBER(SEARCH("Melee",$L76)),ISNUMBER(SEARCH("Bypass",$L76))),1.5,1)</f>
        <v>0.88888888888888884</v>
      </c>
      <c r="AD76" s="17" cm="1">
        <f t="array" ref="AD76">$H76 *
IF(ISNUMBER(SEARCH("Rapid",$L76)),7/6,1) *
IF(OR(ISNUMBER(SEARCH("Beam",$L76)),ISNUMBER(SEARCH("Firestorm",$L76))),1, IF(ISNUMBER(SEARCH("Blast",$L76)),(4+$F76+(2-$F76)*0.5)/6*2,(4+$F76)/6)) *
IF(ISNUMBER(SEARCH("Fusion",$L76)), _xlfn.IFS(AD$24-$I76 &lt;=1, 9/10, AD$24-$I76 &lt;=10,(11-(AD$24-$I76))/10, AD$24-$I76 &gt;=11, 0),
_xlfn.IFS(AD$24-$I76 &lt;=1, 5/6, AD$24-$I76 &lt;=5, (7-(AD$24-$I76))/6, AND(AD$24-$I76 =6,NOT(_xlfn.IFNA(ISNUMBER(SEARCH("Rending",$L76)),FALSE))), (7-(AD$24-$I76))/6, AND(AD$24-$I76 &gt;=7,NOT(_xlfn.IFNA(ISNUMBER(SEARCH("Rending",$L76)),FALSE))), 0, AD$24-$I76 =7, (7-(AD$24-1-$I76))/6, AD$24-$I76 =8, (7-(AD$24-2-$I76))/6*2/3, AD$24-$I76 =9, (7-(AD$24-3-$I76))/6*1/3, TRUE, 0)) *
IF(ISNUMBER(SEARCH("Ordinance",$L76)),7/6,1) *
IF(OR(ISNUMBER(SEARCH("Melee",$L76)),ISNUMBER(SEARCH("Bypass",$L76))),1.5,1)</f>
        <v>0.66666666666666663</v>
      </c>
      <c r="AE76" s="17" cm="1">
        <f t="array" ref="AE76">$H76 *
IF(ISNUMBER(SEARCH("Rapid",$L76)),7/6,1) *
IF(OR(ISNUMBER(SEARCH("Beam",$L76)),ISNUMBER(SEARCH("Firestorm",$L76))),1, IF(ISNUMBER(SEARCH("Blast",$L76)),(4+$F76+(2-$F76)*0.5)/6*2,(4+$F76)/6)) *
IF(ISNUMBER(SEARCH("Fusion",$L76)), _xlfn.IFS(AE$24-$I76 &lt;=1, 9/10, AE$24-$I76 &lt;=10,(11-(AE$24-$I76))/10, AE$24-$I76 &gt;=11, 0),
_xlfn.IFS(AE$24-$I76 &lt;=1, 5/6, AE$24-$I76 &lt;=5, (7-(AE$24-$I76))/6, AND(AE$24-$I76 =6,NOT(_xlfn.IFNA(ISNUMBER(SEARCH("Rending",$L76)),FALSE))), (7-(AE$24-$I76))/6, AND(AE$24-$I76 &gt;=7,NOT(_xlfn.IFNA(ISNUMBER(SEARCH("Rending",$L76)),FALSE))), 0, AE$24-$I76 =7, (7-(AE$24-1-$I76))/6, AE$24-$I76 =8, (7-(AE$24-2-$I76))/6*2/3, AE$24-$I76 =9, (7-(AE$24-3-$I76))/6*1/3, TRUE, 0)) *
IF(ISNUMBER(SEARCH("Ordinance",$L76)),7/6,1) *
IF(OR(ISNUMBER(SEARCH("Melee",$L76)),ISNUMBER(SEARCH("Bypass",$L76))),1.5,1)</f>
        <v>0.44444444444444442</v>
      </c>
      <c r="AF76" s="17" cm="1">
        <f t="array" ref="AF76">$H76 *
IF(ISNUMBER(SEARCH("Rapid",$L76)),7/6,1) *
IF(OR(ISNUMBER(SEARCH("Beam",$L76)),ISNUMBER(SEARCH("Firestorm",$L76))),1, IF(ISNUMBER(SEARCH("Blast",$L76)),(4+$F76+(2-$F76)*0.5)/6*2,(4+$F76)/6)) *
IF(ISNUMBER(SEARCH("Fusion",$L76)), _xlfn.IFS(AF$24-$I76 &lt;=1, 9/10, AF$24-$I76 &lt;=10,(11-(AF$24-$I76))/10, AF$24-$I76 &gt;=11, 0),
_xlfn.IFS(AF$24-$I76 &lt;=1, 5/6, AF$24-$I76 &lt;=5, (7-(AF$24-$I76))/6, AND(AF$24-$I76 =6,NOT(_xlfn.IFNA(ISNUMBER(SEARCH("Rending",$L76)),FALSE))), (7-(AF$24-$I76))/6, AND(AF$24-$I76 &gt;=7,NOT(_xlfn.IFNA(ISNUMBER(SEARCH("Rending",$L76)),FALSE))), 0, AF$24-$I76 =7, (7-(AF$24-1-$I76))/6, AF$24-$I76 =8, (7-(AF$24-2-$I76))/6*2/3, AF$24-$I76 =9, (7-(AF$24-3-$I76))/6*1/3, TRUE, 0)) *
IF(ISNUMBER(SEARCH("Ordinance",$L76)),7/6,1) *
IF(OR(ISNUMBER(SEARCH("Melee",$L76)),ISNUMBER(SEARCH("Bypass",$L76))),1.5,1)</f>
        <v>0.22222222222222221</v>
      </c>
      <c r="AG76" s="16">
        <f t="shared" si="22"/>
        <v>0.44444444444444442</v>
      </c>
      <c r="AH76" s="16">
        <f t="shared" si="23"/>
        <v>0.66666666666666663</v>
      </c>
      <c r="AI76" s="17" cm="1">
        <f t="array" ref="AI76">$H76 *
IF(ISNUMBER(SEARCH("Rapid",$L76)),7/6,1) *
IF(OR(ISNUMBER(SEARCH("Beam",$L76)),ISNUMBER(SEARCH("Firestorm",$L76))),1, IF(ISNUMBER(SEARCH("Blast",$L76)),(4+$G76+(2-$G76)*0.5)/6*2,(4+$G76)/6)) *
_xlfn.IFS(AI$24-$I76 &lt;=1, 5/6, AI$24-$I76 &lt;=5, (7-(AI$24-$I76))/6, AND(AI$24-$I76 =6,NOT(_xlfn.IFNA(ISNUMBER(SEARCH("Rending",$L76)),FALSE))), (7-(AI$24-$I76))/6, AND(AI$24-$I76 &gt;=7,NOT(_xlfn.IFNA(ISNUMBER(SEARCH("Rending",$L76)),FALSE))), 0, AI$24-$I76 =7, (7-(AI$24-1-$I76))/6, AI$24-$I76 =8, (7-(AI$24-2-$I76))/6*2/3, AI$24-$I76 =9, (7-(AI$24-3-$I76))/6*1/3, TRUE, 0) *
IF(ISNUMBER(SEARCH("Ordinance",$L76)),7/6,1) *
IF(OR(ISNUMBER(SEARCH("Melee",$L76)),ISNUMBER(SEARCH("Bypass",$L76))),1.5,1)</f>
        <v>1.1111111111111112</v>
      </c>
      <c r="AJ76" s="17" cm="1">
        <f t="array" ref="AJ76">$H76 *
IF(ISNUMBER(SEARCH("Rapid",$L76)),7/6,1) *
IF(OR(ISNUMBER(SEARCH("Beam",$L76)),ISNUMBER(SEARCH("Firestorm",$L76))),1, IF(ISNUMBER(SEARCH("Blast",$L76)),(4+$G76+(2-$G76)*0.5)/6*2,(4+$G76)/6)) *
_xlfn.IFS(AJ$24-$I76 &lt;=1, 5/6, AJ$24-$I76 &lt;=5, (7-(AJ$24-$I76))/6, AND(AJ$24-$I76 =6,NOT(_xlfn.IFNA(ISNUMBER(SEARCH("Rending",$L76)),FALSE))), (7-(AJ$24-$I76))/6, AND(AJ$24-$I76 &gt;=7,NOT(_xlfn.IFNA(ISNUMBER(SEARCH("Rending",$L76)),FALSE))), 0, AJ$24-$I76 =7, (7-(AJ$24-1-$I76))/6, AJ$24-$I76 =8, (7-(AJ$24-2-$I76))/6*2/3, AJ$24-$I76 =9, (7-(AJ$24-3-$I76))/6*1/3, TRUE, 0) *
IF(ISNUMBER(SEARCH("Ordinance",$L76)),7/6,1) *
IF(OR(ISNUMBER(SEARCH("Melee",$L76)),ISNUMBER(SEARCH("Bypass",$L76))),1.5,1)</f>
        <v>1.1111111111111112</v>
      </c>
      <c r="AK76" s="17" cm="1">
        <f t="array" ref="AK76">$H76 *
IF(ISNUMBER(SEARCH("Rapid",$L76)),7/6,1) *
IF(OR(ISNUMBER(SEARCH("Beam",$L76)),ISNUMBER(SEARCH("Firestorm",$L76))),1, IF(ISNUMBER(SEARCH("Blast",$L76)),(4+$G76+(2-$G76)*0.5)/6*2,(4+$G76)/6)) *
_xlfn.IFS(AK$24-$I76 &lt;=1, 5/6, AK$24-$I76 &lt;=5, (7-(AK$24-$I76))/6, AND(AK$24-$I76 =6,NOT(_xlfn.IFNA(ISNUMBER(SEARCH("Rending",$L76)),FALSE))), (7-(AK$24-$I76))/6, AND(AK$24-$I76 &gt;=7,NOT(_xlfn.IFNA(ISNUMBER(SEARCH("Rending",$L76)),FALSE))), 0, AK$24-$I76 =7, (7-(AK$24-1-$I76))/6, AK$24-$I76 =8, (7-(AK$24-2-$I76))/6*2/3, AK$24-$I76 =9, (7-(AK$24-3-$I76))/6*1/3, TRUE, 0) *
IF(ISNUMBER(SEARCH("Ordinance",$L76)),7/6,1) *
IF(OR(ISNUMBER(SEARCH("Melee",$L76)),ISNUMBER(SEARCH("Bypass",$L76))),1.5,1)</f>
        <v>1.1111111111111112</v>
      </c>
      <c r="AL76" s="17" cm="1">
        <f t="array" ref="AL76">$H76 *
IF(ISNUMBER(SEARCH("Rapid",$L76)),7/6,1) *
IF(OR(ISNUMBER(SEARCH("Beam",$L76)),ISNUMBER(SEARCH("Firestorm",$L76))),1, IF(ISNUMBER(SEARCH("Blast",$L76)),(4+$G76+(2-$G76)*0.5)/6*2,(4+$G76)/6)) *
_xlfn.IFS(AL$24-$I76 &lt;=1, 5/6, AL$24-$I76 &lt;=5, (7-(AL$24-$I76))/6, AND(AL$24-$I76 =6,NOT(_xlfn.IFNA(ISNUMBER(SEARCH("Rending",$L76)),FALSE))), (7-(AL$24-$I76))/6, AND(AL$24-$I76 &gt;=7,NOT(_xlfn.IFNA(ISNUMBER(SEARCH("Rending",$L76)),FALSE))), 0, AL$24-$I76 =7, (7-(AL$24-1-$I76))/6, AL$24-$I76 =8, (7-(AL$24-2-$I76))/6*2/3, AL$24-$I76 =9, (7-(AL$24-3-$I76))/6*1/3, TRUE, 0) *
IF(ISNUMBER(SEARCH("Ordinance",$L76)),7/6,1) *
IF(OR(ISNUMBER(SEARCH("Melee",$L76)),ISNUMBER(SEARCH("Bypass",$L76))),1.5,1)</f>
        <v>1.1111111111111112</v>
      </c>
      <c r="AM76" s="17" cm="1">
        <f t="array" ref="AM76">$H76 *
IF(ISNUMBER(SEARCH("Rapid",$L76)),7/6,1) *
IF(OR(ISNUMBER(SEARCH("Beam",$L76)),ISNUMBER(SEARCH("Firestorm",$L76))),1, IF(ISNUMBER(SEARCH("Blast",$L76)),(4+$G76+(2-$G76)*0.5)/6*2,(4+$G76)/6)) *
_xlfn.IFS(AM$24-$I76 &lt;=1, 5/6, AM$24-$I76 &lt;=5, (7-(AM$24-$I76))/6, AND(AM$24-$I76 =6,NOT(_xlfn.IFNA(ISNUMBER(SEARCH("Rending",$L76)),FALSE))), (7-(AM$24-$I76))/6, AND(AM$24-$I76 &gt;=7,NOT(_xlfn.IFNA(ISNUMBER(SEARCH("Rending",$L76)),FALSE))), 0, AM$24-$I76 =7, (7-(AM$24-1-$I76))/6, AM$24-$I76 =8, (7-(AM$24-2-$I76))/6*2/3, AM$24-$I76 =9, (7-(AM$24-3-$I76))/6*1/3, TRUE, 0) *
IF(ISNUMBER(SEARCH("Ordinance",$L76)),7/6,1) *
IF(OR(ISNUMBER(SEARCH("Melee",$L76)),ISNUMBER(SEARCH("Bypass",$L76))),1.5,1)</f>
        <v>1.1111111111111112</v>
      </c>
      <c r="AN76" s="17" cm="1">
        <f t="array" ref="AN76">$H76 *
IF(ISNUMBER(SEARCH("Rapid",$L76)),7/6,1) *
IF(OR(ISNUMBER(SEARCH("Beam",$L76)),ISNUMBER(SEARCH("Firestorm",$L76))),1, IF(ISNUMBER(SEARCH("Blast",$L76)),(4+$G76+(2-$G76)*0.5)/6*2,(4+$G76)/6)) *
_xlfn.IFS(AN$24-$I76 &lt;=1, 5/6, AN$24-$I76 &lt;=5, (7-(AN$24-$I76))/6, AND(AN$24-$I76 =6,NOT(_xlfn.IFNA(ISNUMBER(SEARCH("Rending",$L76)),FALSE))), (7-(AN$24-$I76))/6, AND(AN$24-$I76 &gt;=7,NOT(_xlfn.IFNA(ISNUMBER(SEARCH("Rending",$L76)),FALSE))), 0, AN$24-$I76 =7, (7-(AN$24-1-$I76))/6, AN$24-$I76 =8, (7-(AN$24-2-$I76))/6*2/3, AN$24-$I76 =9, (7-(AN$24-3-$I76))/6*1/3, TRUE, 0) *
IF(ISNUMBER(SEARCH("Ordinance",$L76)),7/6,1) *
IF(OR(ISNUMBER(SEARCH("Melee",$L76)),ISNUMBER(SEARCH("Bypass",$L76))),1.5,1)</f>
        <v>0.88888888888888884</v>
      </c>
      <c r="AO76" s="17" cm="1">
        <f t="array" ref="AO76">$H76 *
IF(ISNUMBER(SEARCH("Rapid",$L76)),7/6,1) *
IF(OR(ISNUMBER(SEARCH("Beam",$L76)),ISNUMBER(SEARCH("Firestorm",$L76))),1, IF(ISNUMBER(SEARCH("Blast",$L76)),(4+$G76+(2-$G76)*0.5)/6*2,(4+$G76)/6)) *
_xlfn.IFS(AO$24-$I76 &lt;=1, 5/6, AO$24-$I76 &lt;=5, (7-(AO$24-$I76))/6, AND(AO$24-$I76 =6,NOT(_xlfn.IFNA(ISNUMBER(SEARCH("Rending",$L76)),FALSE))), (7-(AO$24-$I76))/6, AND(AO$24-$I76 &gt;=7,NOT(_xlfn.IFNA(ISNUMBER(SEARCH("Rending",$L76)),FALSE))), 0, AO$24-$I76 =7, (7-(AO$24-1-$I76))/6, AO$24-$I76 =8, (7-(AO$24-2-$I76))/6*2/3, AO$24-$I76 =9, (7-(AO$24-3-$I76))/6*1/3, TRUE, 0) *
IF(ISNUMBER(SEARCH("Ordinance",$L76)),7/6,1) *
IF(OR(ISNUMBER(SEARCH("Melee",$L76)),ISNUMBER(SEARCH("Bypass",$L76))),1.5,1)</f>
        <v>0.66666666666666663</v>
      </c>
      <c r="AP76" s="17" cm="1">
        <f t="array" ref="AP76">$H76 *
IF(ISNUMBER(SEARCH("Rapid",$L76)),7/6,1) *
IF(OR(ISNUMBER(SEARCH("Beam",$L76)),ISNUMBER(SEARCH("Firestorm",$L76))),1, IF(ISNUMBER(SEARCH("Blast",$L76)),(4+$G76+(2-$G76)*0.5)/6*2,(4+$G76)/6)) *
_xlfn.IFS(AP$24-$I76 &lt;=1, 5/6, AP$24-$I76 &lt;=5, (7-(AP$24-$I76))/6, AND(AP$24-$I76 =6,NOT(_xlfn.IFNA(ISNUMBER(SEARCH("Rending",$L76)),FALSE))), (7-(AP$24-$I76))/6, AND(AP$24-$I76 &gt;=7,NOT(_xlfn.IFNA(ISNUMBER(SEARCH("Rending",$L76)),FALSE))), 0, AP$24-$I76 =7, (7-(AP$24-1-$I76))/6, AP$24-$I76 =8, (7-(AP$24-2-$I76))/6*2/3, AP$24-$I76 =9, (7-(AP$24-3-$I76))/6*1/3, TRUE, 0) *
IF(ISNUMBER(SEARCH("Ordinance",$L76)),7/6,1) *
IF(OR(ISNUMBER(SEARCH("Melee",$L76)),ISNUMBER(SEARCH("Bypass",$L76))),1.5,1)</f>
        <v>0.44444444444444442</v>
      </c>
      <c r="AQ76" s="17" cm="1">
        <f t="array" ref="AQ76">$H76 *
IF(ISNUMBER(SEARCH("Rapid",$L76)),7/6,1) *
IF(OR(ISNUMBER(SEARCH("Beam",$L76)),ISNUMBER(SEARCH("Firestorm",$L76))),1, IF(ISNUMBER(SEARCH("Blast",$L76)),(4+$G76+(2-$G76)*0.5)/6*2,(4+$G76)/6)) *
_xlfn.IFS(AQ$24-$I76 &lt;=1, 5/6, AQ$24-$I76 &lt;=5, (7-(AQ$24-$I76))/6, AND(AQ$24-$I76 =6,NOT(_xlfn.IFNA(ISNUMBER(SEARCH("Rending",$L76)),FALSE))), (7-(AQ$24-$I76))/6, AND(AQ$24-$I76 &gt;=7,NOT(_xlfn.IFNA(ISNUMBER(SEARCH("Rending",$L76)),FALSE))), 0, AQ$24-$I76 =7, (7-(AQ$24-1-$I76))/6, AQ$24-$I76 =8, (7-(AQ$24-2-$I76))/6*2/3, AQ$24-$I76 =9, (7-(AQ$24-3-$I76))/6*1/3, TRUE, 0) *
IF(ISNUMBER(SEARCH("Ordinance",$L76)),7/6,1) *
IF(OR(ISNUMBER(SEARCH("Melee",$L76)),ISNUMBER(SEARCH("Bypass",$L76))),1.5,1)</f>
        <v>0.22222222222222221</v>
      </c>
      <c r="AS76" s="16">
        <f t="shared" si="24"/>
        <v>0.16296296296296298</v>
      </c>
      <c r="AT76" s="16">
        <f t="shared" si="24"/>
        <v>0.24444444444444446</v>
      </c>
      <c r="AU76" s="16">
        <f>IF(D76+E76=3,
 IF(E76=3, 2.5*AI76,
  IF(E76=2, 1.8*AI76+0.7*X76,
   IF(E76=1, 0.95*AI76+1.55*X76,
    2.5*X76))),
 IF(D76+E76=2,
  IF(E76=2, 1.55*AI76,
   IF(E76 =1, 0.85*AI76+0.7*X76,
    1.55*X76)),
  IF(E76=1, 0.95*AI76,
   0.7*X76))
)/3</f>
        <v>0.92592592592592593</v>
      </c>
      <c r="AV76" s="2">
        <v>10</v>
      </c>
    </row>
    <row r="77" spans="1:48" x14ac:dyDescent="0.3">
      <c r="V77" s="16">
        <f t="shared" si="20"/>
        <v>0</v>
      </c>
      <c r="W77" s="16">
        <f t="shared" si="21"/>
        <v>0</v>
      </c>
      <c r="X77" s="17" cm="1">
        <f t="array" ref="X77">$H77 *
IF(ISNUMBER(SEARCH("Rapid",$L77)),7/6,1) *
IF(OR(ISNUMBER(SEARCH("Beam",$L77)),ISNUMBER(SEARCH("Firestorm",$L77))),1, IF(ISNUMBER(SEARCH("Blast",$L77)),(4+$F77+(2-$F77)*0.5)/6*2,(4+$F77)/6)) *
IF(ISNUMBER(SEARCH("Fusion",$L77)), _xlfn.IFS(X$24-$I77 &lt;=1, 9/10, X$24-$I77 &lt;=10,(11-(X$24-$I77))/10, X$24-$I77 &gt;=11, 0),
_xlfn.IFS(X$24-$I77 &lt;=1, 5/6, X$24-$I77 &lt;=5, (7-(X$24-$I77))/6, AND(X$24-$I77 =6,NOT(_xlfn.IFNA(ISNUMBER(SEARCH("Rending",$L77)),FALSE))), (7-(X$24-$I77))/6, AND(X$24-$I77 &gt;=7,NOT(_xlfn.IFNA(ISNUMBER(SEARCH("Rending",$L77)),FALSE))), 0, X$24-$I77 =7, (7-(X$24-1-$I77))/6, X$24-$I77 =8, (7-(X$24-2-$I77))/6*2/3, X$24-$I77 =9, (7-(X$24-3-$I77))/6*1/3, TRUE, 0)) *
IF(ISNUMBER(SEARCH("Ordinance",$L77)),7/6,1) *
IF(OR(ISNUMBER(SEARCH("Melee",$L77)),ISNUMBER(SEARCH("Bypass",$L77))),1.5,1)</f>
        <v>0</v>
      </c>
      <c r="Y77" s="17" cm="1">
        <f t="array" ref="Y77">$H77 *
IF(ISNUMBER(SEARCH("Rapid",$L77)),7/6,1) *
IF(OR(ISNUMBER(SEARCH("Beam",$L77)),ISNUMBER(SEARCH("Firestorm",$L77))),1, IF(ISNUMBER(SEARCH("Blast",$L77)),(4+$F77+(2-$F77)*0.5)/6*2,(4+$F77)/6)) *
IF(ISNUMBER(SEARCH("Fusion",$L77)), _xlfn.IFS(Y$24-$I77 &lt;=1, 9/10, Y$24-$I77 &lt;=10,(11-(Y$24-$I77))/10, Y$24-$I77 &gt;=11, 0),
_xlfn.IFS(Y$24-$I77 &lt;=1, 5/6, Y$24-$I77 &lt;=5, (7-(Y$24-$I77))/6, AND(Y$24-$I77 =6,NOT(_xlfn.IFNA(ISNUMBER(SEARCH("Rending",$L77)),FALSE))), (7-(Y$24-$I77))/6, AND(Y$24-$I77 &gt;=7,NOT(_xlfn.IFNA(ISNUMBER(SEARCH("Rending",$L77)),FALSE))), 0, Y$24-$I77 =7, (7-(Y$24-1-$I77))/6, Y$24-$I77 =8, (7-(Y$24-2-$I77))/6*2/3, Y$24-$I77 =9, (7-(Y$24-3-$I77))/6*1/3, TRUE, 0)) *
IF(ISNUMBER(SEARCH("Ordinance",$L77)),7/6,1) *
IF(OR(ISNUMBER(SEARCH("Melee",$L77)),ISNUMBER(SEARCH("Bypass",$L77))),1.5,1)</f>
        <v>0</v>
      </c>
      <c r="Z77" s="17" cm="1">
        <f t="array" ref="Z77">$H77 *
IF(ISNUMBER(SEARCH("Rapid",$L77)),7/6,1) *
IF(OR(ISNUMBER(SEARCH("Beam",$L77)),ISNUMBER(SEARCH("Firestorm",$L77))),1, IF(ISNUMBER(SEARCH("Blast",$L77)),(4+$F77+(2-$F77)*0.5)/6*2,(4+$F77)/6)) *
IF(ISNUMBER(SEARCH("Fusion",$L77)), _xlfn.IFS(Z$24-$I77 &lt;=1, 9/10, Z$24-$I77 &lt;=10,(11-(Z$24-$I77))/10, Z$24-$I77 &gt;=11, 0),
_xlfn.IFS(Z$24-$I77 &lt;=1, 5/6, Z$24-$I77 &lt;=5, (7-(Z$24-$I77))/6, AND(Z$24-$I77 =6,NOT(_xlfn.IFNA(ISNUMBER(SEARCH("Rending",$L77)),FALSE))), (7-(Z$24-$I77))/6, AND(Z$24-$I77 &gt;=7,NOT(_xlfn.IFNA(ISNUMBER(SEARCH("Rending",$L77)),FALSE))), 0, Z$24-$I77 =7, (7-(Z$24-1-$I77))/6, Z$24-$I77 =8, (7-(Z$24-2-$I77))/6*2/3, Z$24-$I77 =9, (7-(Z$24-3-$I77))/6*1/3, TRUE, 0)) *
IF(ISNUMBER(SEARCH("Ordinance",$L77)),7/6,1) *
IF(OR(ISNUMBER(SEARCH("Melee",$L77)),ISNUMBER(SEARCH("Bypass",$L77))),1.5,1)</f>
        <v>0</v>
      </c>
      <c r="AA77" s="17" cm="1">
        <f t="array" ref="AA77">$H77 *
IF(ISNUMBER(SEARCH("Rapid",$L77)),7/6,1) *
IF(OR(ISNUMBER(SEARCH("Beam",$L77)),ISNUMBER(SEARCH("Firestorm",$L77))),1, IF(ISNUMBER(SEARCH("Blast",$L77)),(4+$F77+(2-$F77)*0.5)/6*2,(4+$F77)/6)) *
IF(ISNUMBER(SEARCH("Fusion",$L77)), _xlfn.IFS(AA$24-$I77 &lt;=1, 9/10, AA$24-$I77 &lt;=10,(11-(AA$24-$I77))/10, AA$24-$I77 &gt;=11, 0),
_xlfn.IFS(AA$24-$I77 &lt;=1, 5/6, AA$24-$I77 &lt;=5, (7-(AA$24-$I77))/6, AND(AA$24-$I77 =6,NOT(_xlfn.IFNA(ISNUMBER(SEARCH("Rending",$L77)),FALSE))), (7-(AA$24-$I77))/6, AND(AA$24-$I77 &gt;=7,NOT(_xlfn.IFNA(ISNUMBER(SEARCH("Rending",$L77)),FALSE))), 0, AA$24-$I77 =7, (7-(AA$24-1-$I77))/6, AA$24-$I77 =8, (7-(AA$24-2-$I77))/6*2/3, AA$24-$I77 =9, (7-(AA$24-3-$I77))/6*1/3, TRUE, 0)) *
IF(ISNUMBER(SEARCH("Ordinance",$L77)),7/6,1) *
IF(OR(ISNUMBER(SEARCH("Melee",$L77)),ISNUMBER(SEARCH("Bypass",$L77))),1.5,1)</f>
        <v>0</v>
      </c>
      <c r="AB77" s="17" cm="1">
        <f t="array" ref="AB77">$H77 *
IF(ISNUMBER(SEARCH("Rapid",$L77)),7/6,1) *
IF(OR(ISNUMBER(SEARCH("Beam",$L77)),ISNUMBER(SEARCH("Firestorm",$L77))),1, IF(ISNUMBER(SEARCH("Blast",$L77)),(4+$F77+(2-$F77)*0.5)/6*2,(4+$F77)/6)) *
IF(ISNUMBER(SEARCH("Fusion",$L77)), _xlfn.IFS(AB$24-$I77 &lt;=1, 9/10, AB$24-$I77 &lt;=10,(11-(AB$24-$I77))/10, AB$24-$I77 &gt;=11, 0),
_xlfn.IFS(AB$24-$I77 &lt;=1, 5/6, AB$24-$I77 &lt;=5, (7-(AB$24-$I77))/6, AND(AB$24-$I77 =6,NOT(_xlfn.IFNA(ISNUMBER(SEARCH("Rending",$L77)),FALSE))), (7-(AB$24-$I77))/6, AND(AB$24-$I77 &gt;=7,NOT(_xlfn.IFNA(ISNUMBER(SEARCH("Rending",$L77)),FALSE))), 0, AB$24-$I77 =7, (7-(AB$24-1-$I77))/6, AB$24-$I77 =8, (7-(AB$24-2-$I77))/6*2/3, AB$24-$I77 =9, (7-(AB$24-3-$I77))/6*1/3, TRUE, 0)) *
IF(ISNUMBER(SEARCH("Ordinance",$L77)),7/6,1) *
IF(OR(ISNUMBER(SEARCH("Melee",$L77)),ISNUMBER(SEARCH("Bypass",$L77))),1.5,1)</f>
        <v>0</v>
      </c>
      <c r="AC77" s="17" cm="1">
        <f t="array" ref="AC77">$H77 *
IF(ISNUMBER(SEARCH("Rapid",$L77)),7/6,1) *
IF(OR(ISNUMBER(SEARCH("Beam",$L77)),ISNUMBER(SEARCH("Firestorm",$L77))),1, IF(ISNUMBER(SEARCH("Blast",$L77)),(4+$F77+(2-$F77)*0.5)/6*2,(4+$F77)/6)) *
IF(ISNUMBER(SEARCH("Fusion",$L77)), _xlfn.IFS(AC$24-$I77 &lt;=1, 9/10, AC$24-$I77 &lt;=10,(11-(AC$24-$I77))/10, AC$24-$I77 &gt;=11, 0),
_xlfn.IFS(AC$24-$I77 &lt;=1, 5/6, AC$24-$I77 &lt;=5, (7-(AC$24-$I77))/6, AND(AC$24-$I77 =6,NOT(_xlfn.IFNA(ISNUMBER(SEARCH("Rending",$L77)),FALSE))), (7-(AC$24-$I77))/6, AND(AC$24-$I77 &gt;=7,NOT(_xlfn.IFNA(ISNUMBER(SEARCH("Rending",$L77)),FALSE))), 0, AC$24-$I77 =7, (7-(AC$24-1-$I77))/6, AC$24-$I77 =8, (7-(AC$24-2-$I77))/6*2/3, AC$24-$I77 =9, (7-(AC$24-3-$I77))/6*1/3, TRUE, 0)) *
IF(ISNUMBER(SEARCH("Ordinance",$L77)),7/6,1) *
IF(OR(ISNUMBER(SEARCH("Melee",$L77)),ISNUMBER(SEARCH("Bypass",$L77))),1.5,1)</f>
        <v>0</v>
      </c>
      <c r="AD77" s="17" cm="1">
        <f t="array" ref="AD77">$H77 *
IF(ISNUMBER(SEARCH("Rapid",$L77)),7/6,1) *
IF(OR(ISNUMBER(SEARCH("Beam",$L77)),ISNUMBER(SEARCH("Firestorm",$L77))),1, IF(ISNUMBER(SEARCH("Blast",$L77)),(4+$F77+(2-$F77)*0.5)/6*2,(4+$F77)/6)) *
IF(ISNUMBER(SEARCH("Fusion",$L77)), _xlfn.IFS(AD$24-$I77 &lt;=1, 9/10, AD$24-$I77 &lt;=10,(11-(AD$24-$I77))/10, AD$24-$I77 &gt;=11, 0),
_xlfn.IFS(AD$24-$I77 &lt;=1, 5/6, AD$24-$I77 &lt;=5, (7-(AD$24-$I77))/6, AND(AD$24-$I77 =6,NOT(_xlfn.IFNA(ISNUMBER(SEARCH("Rending",$L77)),FALSE))), (7-(AD$24-$I77))/6, AND(AD$24-$I77 &gt;=7,NOT(_xlfn.IFNA(ISNUMBER(SEARCH("Rending",$L77)),FALSE))), 0, AD$24-$I77 =7, (7-(AD$24-1-$I77))/6, AD$24-$I77 =8, (7-(AD$24-2-$I77))/6*2/3, AD$24-$I77 =9, (7-(AD$24-3-$I77))/6*1/3, TRUE, 0)) *
IF(ISNUMBER(SEARCH("Ordinance",$L77)),7/6,1) *
IF(OR(ISNUMBER(SEARCH("Melee",$L77)),ISNUMBER(SEARCH("Bypass",$L77))),1.5,1)</f>
        <v>0</v>
      </c>
      <c r="AE77" s="17" cm="1">
        <f t="array" ref="AE77">$H77 *
IF(ISNUMBER(SEARCH("Rapid",$L77)),7/6,1) *
IF(OR(ISNUMBER(SEARCH("Beam",$L77)),ISNUMBER(SEARCH("Firestorm",$L77))),1, IF(ISNUMBER(SEARCH("Blast",$L77)),(4+$F77+(2-$F77)*0.5)/6*2,(4+$F77)/6)) *
IF(ISNUMBER(SEARCH("Fusion",$L77)), _xlfn.IFS(AE$24-$I77 &lt;=1, 9/10, AE$24-$I77 &lt;=10,(11-(AE$24-$I77))/10, AE$24-$I77 &gt;=11, 0),
_xlfn.IFS(AE$24-$I77 &lt;=1, 5/6, AE$24-$I77 &lt;=5, (7-(AE$24-$I77))/6, AND(AE$24-$I77 =6,NOT(_xlfn.IFNA(ISNUMBER(SEARCH("Rending",$L77)),FALSE))), (7-(AE$24-$I77))/6, AND(AE$24-$I77 &gt;=7,NOT(_xlfn.IFNA(ISNUMBER(SEARCH("Rending",$L77)),FALSE))), 0, AE$24-$I77 =7, (7-(AE$24-1-$I77))/6, AE$24-$I77 =8, (7-(AE$24-2-$I77))/6*2/3, AE$24-$I77 =9, (7-(AE$24-3-$I77))/6*1/3, TRUE, 0)) *
IF(ISNUMBER(SEARCH("Ordinance",$L77)),7/6,1) *
IF(OR(ISNUMBER(SEARCH("Melee",$L77)),ISNUMBER(SEARCH("Bypass",$L77))),1.5,1)</f>
        <v>0</v>
      </c>
      <c r="AF77" s="17" cm="1">
        <f t="array" ref="AF77">$H77 *
IF(ISNUMBER(SEARCH("Rapid",$L77)),7/6,1) *
IF(OR(ISNUMBER(SEARCH("Beam",$L77)),ISNUMBER(SEARCH("Firestorm",$L77))),1, IF(ISNUMBER(SEARCH("Blast",$L77)),(4+$F77+(2-$F77)*0.5)/6*2,(4+$F77)/6)) *
IF(ISNUMBER(SEARCH("Fusion",$L77)), _xlfn.IFS(AF$24-$I77 &lt;=1, 9/10, AF$24-$I77 &lt;=10,(11-(AF$24-$I77))/10, AF$24-$I77 &gt;=11, 0),
_xlfn.IFS(AF$24-$I77 &lt;=1, 5/6, AF$24-$I77 &lt;=5, (7-(AF$24-$I77))/6, AND(AF$24-$I77 =6,NOT(_xlfn.IFNA(ISNUMBER(SEARCH("Rending",$L77)),FALSE))), (7-(AF$24-$I77))/6, AND(AF$24-$I77 &gt;=7,NOT(_xlfn.IFNA(ISNUMBER(SEARCH("Rending",$L77)),FALSE))), 0, AF$24-$I77 =7, (7-(AF$24-1-$I77))/6, AF$24-$I77 =8, (7-(AF$24-2-$I77))/6*2/3, AF$24-$I77 =9, (7-(AF$24-3-$I77))/6*1/3, TRUE, 0)) *
IF(ISNUMBER(SEARCH("Ordinance",$L77)),7/6,1) *
IF(OR(ISNUMBER(SEARCH("Melee",$L77)),ISNUMBER(SEARCH("Bypass",$L77))),1.5,1)</f>
        <v>0</v>
      </c>
      <c r="AG77" s="16">
        <f t="shared" si="22"/>
        <v>0</v>
      </c>
      <c r="AH77" s="16">
        <f t="shared" si="23"/>
        <v>0</v>
      </c>
      <c r="AI77" s="17" cm="1">
        <f t="array" ref="AI77">$H77 *
IF(ISNUMBER(SEARCH("Rapid",$L77)),7/6,1) *
IF(OR(ISNUMBER(SEARCH("Beam",$L77)),ISNUMBER(SEARCH("Firestorm",$L77))),1, IF(ISNUMBER(SEARCH("Blast",$L77)),(4+$G77+(2-$G77)*0.5)/6*2,(4+$G77)/6)) *
_xlfn.IFS(AI$24-$I77 &lt;=1, 5/6, AI$24-$I77 &lt;=5, (7-(AI$24-$I77))/6, AND(AI$24-$I77 =6,NOT(_xlfn.IFNA(ISNUMBER(SEARCH("Rending",$L77)),FALSE))), (7-(AI$24-$I77))/6, AND(AI$24-$I77 &gt;=7,NOT(_xlfn.IFNA(ISNUMBER(SEARCH("Rending",$L77)),FALSE))), 0, AI$24-$I77 =7, (7-(AI$24-1-$I77))/6, AI$24-$I77 =8, (7-(AI$24-2-$I77))/6*2/3, AI$24-$I77 =9, (7-(AI$24-3-$I77))/6*1/3, TRUE, 0) *
IF(ISNUMBER(SEARCH("Ordinance",$L77)),7/6,1) *
IF(OR(ISNUMBER(SEARCH("Melee",$L77)),ISNUMBER(SEARCH("Bypass",$L77))),1.5,1)</f>
        <v>0</v>
      </c>
      <c r="AJ77" s="17" cm="1">
        <f t="array" ref="AJ77">$H77 *
IF(ISNUMBER(SEARCH("Rapid",$L77)),7/6,1) *
IF(OR(ISNUMBER(SEARCH("Beam",$L77)),ISNUMBER(SEARCH("Firestorm",$L77))),1, IF(ISNUMBER(SEARCH("Blast",$L77)),(4+$G77+(2-$G77)*0.5)/6*2,(4+$G77)/6)) *
_xlfn.IFS(AJ$24-$I77 &lt;=1, 5/6, AJ$24-$I77 &lt;=5, (7-(AJ$24-$I77))/6, AND(AJ$24-$I77 =6,NOT(_xlfn.IFNA(ISNUMBER(SEARCH("Rending",$L77)),FALSE))), (7-(AJ$24-$I77))/6, AND(AJ$24-$I77 &gt;=7,NOT(_xlfn.IFNA(ISNUMBER(SEARCH("Rending",$L77)),FALSE))), 0, AJ$24-$I77 =7, (7-(AJ$24-1-$I77))/6, AJ$24-$I77 =8, (7-(AJ$24-2-$I77))/6*2/3, AJ$24-$I77 =9, (7-(AJ$24-3-$I77))/6*1/3, TRUE, 0) *
IF(ISNUMBER(SEARCH("Ordinance",$L77)),7/6,1) *
IF(OR(ISNUMBER(SEARCH("Melee",$L77)),ISNUMBER(SEARCH("Bypass",$L77))),1.5,1)</f>
        <v>0</v>
      </c>
      <c r="AK77" s="17" cm="1">
        <f t="array" ref="AK77">$H77 *
IF(ISNUMBER(SEARCH("Rapid",$L77)),7/6,1) *
IF(OR(ISNUMBER(SEARCH("Beam",$L77)),ISNUMBER(SEARCH("Firestorm",$L77))),1, IF(ISNUMBER(SEARCH("Blast",$L77)),(4+$G77+(2-$G77)*0.5)/6*2,(4+$G77)/6)) *
_xlfn.IFS(AK$24-$I77 &lt;=1, 5/6, AK$24-$I77 &lt;=5, (7-(AK$24-$I77))/6, AND(AK$24-$I77 =6,NOT(_xlfn.IFNA(ISNUMBER(SEARCH("Rending",$L77)),FALSE))), (7-(AK$24-$I77))/6, AND(AK$24-$I77 &gt;=7,NOT(_xlfn.IFNA(ISNUMBER(SEARCH("Rending",$L77)),FALSE))), 0, AK$24-$I77 =7, (7-(AK$24-1-$I77))/6, AK$24-$I77 =8, (7-(AK$24-2-$I77))/6*2/3, AK$24-$I77 =9, (7-(AK$24-3-$I77))/6*1/3, TRUE, 0) *
IF(ISNUMBER(SEARCH("Ordinance",$L77)),7/6,1) *
IF(OR(ISNUMBER(SEARCH("Melee",$L77)),ISNUMBER(SEARCH("Bypass",$L77))),1.5,1)</f>
        <v>0</v>
      </c>
      <c r="AL77" s="17" cm="1">
        <f t="array" ref="AL77">$H77 *
IF(ISNUMBER(SEARCH("Rapid",$L77)),7/6,1) *
IF(OR(ISNUMBER(SEARCH("Beam",$L77)),ISNUMBER(SEARCH("Firestorm",$L77))),1, IF(ISNUMBER(SEARCH("Blast",$L77)),(4+$G77+(2-$G77)*0.5)/6*2,(4+$G77)/6)) *
_xlfn.IFS(AL$24-$I77 &lt;=1, 5/6, AL$24-$I77 &lt;=5, (7-(AL$24-$I77))/6, AND(AL$24-$I77 =6,NOT(_xlfn.IFNA(ISNUMBER(SEARCH("Rending",$L77)),FALSE))), (7-(AL$24-$I77))/6, AND(AL$24-$I77 &gt;=7,NOT(_xlfn.IFNA(ISNUMBER(SEARCH("Rending",$L77)),FALSE))), 0, AL$24-$I77 =7, (7-(AL$24-1-$I77))/6, AL$24-$I77 =8, (7-(AL$24-2-$I77))/6*2/3, AL$24-$I77 =9, (7-(AL$24-3-$I77))/6*1/3, TRUE, 0) *
IF(ISNUMBER(SEARCH("Ordinance",$L77)),7/6,1) *
IF(OR(ISNUMBER(SEARCH("Melee",$L77)),ISNUMBER(SEARCH("Bypass",$L77))),1.5,1)</f>
        <v>0</v>
      </c>
      <c r="AM77" s="17" cm="1">
        <f t="array" ref="AM77">$H77 *
IF(ISNUMBER(SEARCH("Rapid",$L77)),7/6,1) *
IF(OR(ISNUMBER(SEARCH("Beam",$L77)),ISNUMBER(SEARCH("Firestorm",$L77))),1, IF(ISNUMBER(SEARCH("Blast",$L77)),(4+$G77+(2-$G77)*0.5)/6*2,(4+$G77)/6)) *
_xlfn.IFS(AM$24-$I77 &lt;=1, 5/6, AM$24-$I77 &lt;=5, (7-(AM$24-$I77))/6, AND(AM$24-$I77 =6,NOT(_xlfn.IFNA(ISNUMBER(SEARCH("Rending",$L77)),FALSE))), (7-(AM$24-$I77))/6, AND(AM$24-$I77 &gt;=7,NOT(_xlfn.IFNA(ISNUMBER(SEARCH("Rending",$L77)),FALSE))), 0, AM$24-$I77 =7, (7-(AM$24-1-$I77))/6, AM$24-$I77 =8, (7-(AM$24-2-$I77))/6*2/3, AM$24-$I77 =9, (7-(AM$24-3-$I77))/6*1/3, TRUE, 0) *
IF(ISNUMBER(SEARCH("Ordinance",$L77)),7/6,1) *
IF(OR(ISNUMBER(SEARCH("Melee",$L77)),ISNUMBER(SEARCH("Bypass",$L77))),1.5,1)</f>
        <v>0</v>
      </c>
      <c r="AN77" s="17" cm="1">
        <f t="array" ref="AN77">$H77 *
IF(ISNUMBER(SEARCH("Rapid",$L77)),7/6,1) *
IF(OR(ISNUMBER(SEARCH("Beam",$L77)),ISNUMBER(SEARCH("Firestorm",$L77))),1, IF(ISNUMBER(SEARCH("Blast",$L77)),(4+$G77+(2-$G77)*0.5)/6*2,(4+$G77)/6)) *
_xlfn.IFS(AN$24-$I77 &lt;=1, 5/6, AN$24-$I77 &lt;=5, (7-(AN$24-$I77))/6, AND(AN$24-$I77 =6,NOT(_xlfn.IFNA(ISNUMBER(SEARCH("Rending",$L77)),FALSE))), (7-(AN$24-$I77))/6, AND(AN$24-$I77 &gt;=7,NOT(_xlfn.IFNA(ISNUMBER(SEARCH("Rending",$L77)),FALSE))), 0, AN$24-$I77 =7, (7-(AN$24-1-$I77))/6, AN$24-$I77 =8, (7-(AN$24-2-$I77))/6*2/3, AN$24-$I77 =9, (7-(AN$24-3-$I77))/6*1/3, TRUE, 0) *
IF(ISNUMBER(SEARCH("Ordinance",$L77)),7/6,1) *
IF(OR(ISNUMBER(SEARCH("Melee",$L77)),ISNUMBER(SEARCH("Bypass",$L77))),1.5,1)</f>
        <v>0</v>
      </c>
      <c r="AO77" s="17" cm="1">
        <f t="array" ref="AO77">$H77 *
IF(ISNUMBER(SEARCH("Rapid",$L77)),7/6,1) *
IF(OR(ISNUMBER(SEARCH("Beam",$L77)),ISNUMBER(SEARCH("Firestorm",$L77))),1, IF(ISNUMBER(SEARCH("Blast",$L77)),(4+$G77+(2-$G77)*0.5)/6*2,(4+$G77)/6)) *
_xlfn.IFS(AO$24-$I77 &lt;=1, 5/6, AO$24-$I77 &lt;=5, (7-(AO$24-$I77))/6, AND(AO$24-$I77 =6,NOT(_xlfn.IFNA(ISNUMBER(SEARCH("Rending",$L77)),FALSE))), (7-(AO$24-$I77))/6, AND(AO$24-$I77 &gt;=7,NOT(_xlfn.IFNA(ISNUMBER(SEARCH("Rending",$L77)),FALSE))), 0, AO$24-$I77 =7, (7-(AO$24-1-$I77))/6, AO$24-$I77 =8, (7-(AO$24-2-$I77))/6*2/3, AO$24-$I77 =9, (7-(AO$24-3-$I77))/6*1/3, TRUE, 0) *
IF(ISNUMBER(SEARCH("Ordinance",$L77)),7/6,1) *
IF(OR(ISNUMBER(SEARCH("Melee",$L77)),ISNUMBER(SEARCH("Bypass",$L77))),1.5,1)</f>
        <v>0</v>
      </c>
      <c r="AP77" s="17" cm="1">
        <f t="array" ref="AP77">$H77 *
IF(ISNUMBER(SEARCH("Rapid",$L77)),7/6,1) *
IF(OR(ISNUMBER(SEARCH("Beam",$L77)),ISNUMBER(SEARCH("Firestorm",$L77))),1, IF(ISNUMBER(SEARCH("Blast",$L77)),(4+$G77+(2-$G77)*0.5)/6*2,(4+$G77)/6)) *
_xlfn.IFS(AP$24-$I77 &lt;=1, 5/6, AP$24-$I77 &lt;=5, (7-(AP$24-$I77))/6, AND(AP$24-$I77 =6,NOT(_xlfn.IFNA(ISNUMBER(SEARCH("Rending",$L77)),FALSE))), (7-(AP$24-$I77))/6, AND(AP$24-$I77 &gt;=7,NOT(_xlfn.IFNA(ISNUMBER(SEARCH("Rending",$L77)),FALSE))), 0, AP$24-$I77 =7, (7-(AP$24-1-$I77))/6, AP$24-$I77 =8, (7-(AP$24-2-$I77))/6*2/3, AP$24-$I77 =9, (7-(AP$24-3-$I77))/6*1/3, TRUE, 0) *
IF(ISNUMBER(SEARCH("Ordinance",$L77)),7/6,1) *
IF(OR(ISNUMBER(SEARCH("Melee",$L77)),ISNUMBER(SEARCH("Bypass",$L77))),1.5,1)</f>
        <v>0</v>
      </c>
      <c r="AQ77" s="17" cm="1">
        <f t="array" ref="AQ77">$H77 *
IF(ISNUMBER(SEARCH("Rapid",$L77)),7/6,1) *
IF(OR(ISNUMBER(SEARCH("Beam",$L77)),ISNUMBER(SEARCH("Firestorm",$L77))),1, IF(ISNUMBER(SEARCH("Blast",$L77)),(4+$G77+(2-$G77)*0.5)/6*2,(4+$G77)/6)) *
_xlfn.IFS(AQ$24-$I77 &lt;=1, 5/6, AQ$24-$I77 &lt;=5, (7-(AQ$24-$I77))/6, AND(AQ$24-$I77 =6,NOT(_xlfn.IFNA(ISNUMBER(SEARCH("Rending",$L77)),FALSE))), (7-(AQ$24-$I77))/6, AND(AQ$24-$I77 &gt;=7,NOT(_xlfn.IFNA(ISNUMBER(SEARCH("Rending",$L77)),FALSE))), 0, AQ$24-$I77 =7, (7-(AQ$24-1-$I77))/6, AQ$24-$I77 =8, (7-(AQ$24-2-$I77))/6*2/3, AQ$24-$I77 =9, (7-(AQ$24-3-$I77))/6*1/3, TRUE, 0) *
IF(ISNUMBER(SEARCH("Ordinance",$L77)),7/6,1) *
IF(OR(ISNUMBER(SEARCH("Melee",$L77)),ISNUMBER(SEARCH("Bypass",$L77))),1.5,1)</f>
        <v>0</v>
      </c>
    </row>
    <row r="78" spans="1:48" x14ac:dyDescent="0.3">
      <c r="V78" s="16">
        <f t="shared" si="20"/>
        <v>0</v>
      </c>
      <c r="W78" s="16">
        <f t="shared" si="21"/>
        <v>0</v>
      </c>
      <c r="X78" s="17" cm="1">
        <f t="array" ref="X78">$H78 *
IF(ISNUMBER(SEARCH("Rapid",$L78)),7/6,1) *
IF(OR(ISNUMBER(SEARCH("Beam",$L78)),ISNUMBER(SEARCH("Firestorm",$L78))),1, IF(ISNUMBER(SEARCH("Blast",$L78)),(4+$F78+(2-$F78)*0.5)/6*2,(4+$F78)/6)) *
IF(ISNUMBER(SEARCH("Fusion",$L78)), _xlfn.IFS(X$24-$I78 &lt;=1, 9/10, X$24-$I78 &lt;=10,(11-(X$24-$I78))/10, X$24-$I78 &gt;=11, 0),
_xlfn.IFS(X$24-$I78 &lt;=1, 5/6, X$24-$I78 &lt;=5, (7-(X$24-$I78))/6, AND(X$24-$I78 =6,NOT(_xlfn.IFNA(ISNUMBER(SEARCH("Rending",$L78)),FALSE))), (7-(X$24-$I78))/6, AND(X$24-$I78 &gt;=7,NOT(_xlfn.IFNA(ISNUMBER(SEARCH("Rending",$L78)),FALSE))), 0, X$24-$I78 =7, (7-(X$24-1-$I78))/6, X$24-$I78 =8, (7-(X$24-2-$I78))/6*2/3, X$24-$I78 =9, (7-(X$24-3-$I78))/6*1/3, TRUE, 0)) *
IF(ISNUMBER(SEARCH("Ordinance",$L78)),7/6,1) *
IF(OR(ISNUMBER(SEARCH("Melee",$L78)),ISNUMBER(SEARCH("Bypass",$L78))),1.5,1)</f>
        <v>0</v>
      </c>
      <c r="Y78" s="17" cm="1">
        <f t="array" ref="Y78">$H78 *
IF(ISNUMBER(SEARCH("Rapid",$L78)),7/6,1) *
IF(OR(ISNUMBER(SEARCH("Beam",$L78)),ISNUMBER(SEARCH("Firestorm",$L78))),1, IF(ISNUMBER(SEARCH("Blast",$L78)),(4+$F78+(2-$F78)*0.5)/6*2,(4+$F78)/6)) *
IF(ISNUMBER(SEARCH("Fusion",$L78)), _xlfn.IFS(Y$24-$I78 &lt;=1, 9/10, Y$24-$I78 &lt;=10,(11-(Y$24-$I78))/10, Y$24-$I78 &gt;=11, 0),
_xlfn.IFS(Y$24-$I78 &lt;=1, 5/6, Y$24-$I78 &lt;=5, (7-(Y$24-$I78))/6, AND(Y$24-$I78 =6,NOT(_xlfn.IFNA(ISNUMBER(SEARCH("Rending",$L78)),FALSE))), (7-(Y$24-$I78))/6, AND(Y$24-$I78 &gt;=7,NOT(_xlfn.IFNA(ISNUMBER(SEARCH("Rending",$L78)),FALSE))), 0, Y$24-$I78 =7, (7-(Y$24-1-$I78))/6, Y$24-$I78 =8, (7-(Y$24-2-$I78))/6*2/3, Y$24-$I78 =9, (7-(Y$24-3-$I78))/6*1/3, TRUE, 0)) *
IF(ISNUMBER(SEARCH("Ordinance",$L78)),7/6,1) *
IF(OR(ISNUMBER(SEARCH("Melee",$L78)),ISNUMBER(SEARCH("Bypass",$L78))),1.5,1)</f>
        <v>0</v>
      </c>
      <c r="Z78" s="17" cm="1">
        <f t="array" ref="Z78">$H78 *
IF(ISNUMBER(SEARCH("Rapid",$L78)),7/6,1) *
IF(OR(ISNUMBER(SEARCH("Beam",$L78)),ISNUMBER(SEARCH("Firestorm",$L78))),1, IF(ISNUMBER(SEARCH("Blast",$L78)),(4+$F78+(2-$F78)*0.5)/6*2,(4+$F78)/6)) *
IF(ISNUMBER(SEARCH("Fusion",$L78)), _xlfn.IFS(Z$24-$I78 &lt;=1, 9/10, Z$24-$I78 &lt;=10,(11-(Z$24-$I78))/10, Z$24-$I78 &gt;=11, 0),
_xlfn.IFS(Z$24-$I78 &lt;=1, 5/6, Z$24-$I78 &lt;=5, (7-(Z$24-$I78))/6, AND(Z$24-$I78 =6,NOT(_xlfn.IFNA(ISNUMBER(SEARCH("Rending",$L78)),FALSE))), (7-(Z$24-$I78))/6, AND(Z$24-$I78 &gt;=7,NOT(_xlfn.IFNA(ISNUMBER(SEARCH("Rending",$L78)),FALSE))), 0, Z$24-$I78 =7, (7-(Z$24-1-$I78))/6, Z$24-$I78 =8, (7-(Z$24-2-$I78))/6*2/3, Z$24-$I78 =9, (7-(Z$24-3-$I78))/6*1/3, TRUE, 0)) *
IF(ISNUMBER(SEARCH("Ordinance",$L78)),7/6,1) *
IF(OR(ISNUMBER(SEARCH("Melee",$L78)),ISNUMBER(SEARCH("Bypass",$L78))),1.5,1)</f>
        <v>0</v>
      </c>
      <c r="AA78" s="17" cm="1">
        <f t="array" ref="AA78">$H78 *
IF(ISNUMBER(SEARCH("Rapid",$L78)),7/6,1) *
IF(OR(ISNUMBER(SEARCH("Beam",$L78)),ISNUMBER(SEARCH("Firestorm",$L78))),1, IF(ISNUMBER(SEARCH("Blast",$L78)),(4+$F78+(2-$F78)*0.5)/6*2,(4+$F78)/6)) *
IF(ISNUMBER(SEARCH("Fusion",$L78)), _xlfn.IFS(AA$24-$I78 &lt;=1, 9/10, AA$24-$I78 &lt;=10,(11-(AA$24-$I78))/10, AA$24-$I78 &gt;=11, 0),
_xlfn.IFS(AA$24-$I78 &lt;=1, 5/6, AA$24-$I78 &lt;=5, (7-(AA$24-$I78))/6, AND(AA$24-$I78 =6,NOT(_xlfn.IFNA(ISNUMBER(SEARCH("Rending",$L78)),FALSE))), (7-(AA$24-$I78))/6, AND(AA$24-$I78 &gt;=7,NOT(_xlfn.IFNA(ISNUMBER(SEARCH("Rending",$L78)),FALSE))), 0, AA$24-$I78 =7, (7-(AA$24-1-$I78))/6, AA$24-$I78 =8, (7-(AA$24-2-$I78))/6*2/3, AA$24-$I78 =9, (7-(AA$24-3-$I78))/6*1/3, TRUE, 0)) *
IF(ISNUMBER(SEARCH("Ordinance",$L78)),7/6,1) *
IF(OR(ISNUMBER(SEARCH("Melee",$L78)),ISNUMBER(SEARCH("Bypass",$L78))),1.5,1)</f>
        <v>0</v>
      </c>
      <c r="AB78" s="17" cm="1">
        <f t="array" ref="AB78">$H78 *
IF(ISNUMBER(SEARCH("Rapid",$L78)),7/6,1) *
IF(OR(ISNUMBER(SEARCH("Beam",$L78)),ISNUMBER(SEARCH("Firestorm",$L78))),1, IF(ISNUMBER(SEARCH("Blast",$L78)),(4+$F78+(2-$F78)*0.5)/6*2,(4+$F78)/6)) *
IF(ISNUMBER(SEARCH("Fusion",$L78)), _xlfn.IFS(AB$24-$I78 &lt;=1, 9/10, AB$24-$I78 &lt;=10,(11-(AB$24-$I78))/10, AB$24-$I78 &gt;=11, 0),
_xlfn.IFS(AB$24-$I78 &lt;=1, 5/6, AB$24-$I78 &lt;=5, (7-(AB$24-$I78))/6, AND(AB$24-$I78 =6,NOT(_xlfn.IFNA(ISNUMBER(SEARCH("Rending",$L78)),FALSE))), (7-(AB$24-$I78))/6, AND(AB$24-$I78 &gt;=7,NOT(_xlfn.IFNA(ISNUMBER(SEARCH("Rending",$L78)),FALSE))), 0, AB$24-$I78 =7, (7-(AB$24-1-$I78))/6, AB$24-$I78 =8, (7-(AB$24-2-$I78))/6*2/3, AB$24-$I78 =9, (7-(AB$24-3-$I78))/6*1/3, TRUE, 0)) *
IF(ISNUMBER(SEARCH("Ordinance",$L78)),7/6,1) *
IF(OR(ISNUMBER(SEARCH("Melee",$L78)),ISNUMBER(SEARCH("Bypass",$L78))),1.5,1)</f>
        <v>0</v>
      </c>
      <c r="AC78" s="17" cm="1">
        <f t="array" ref="AC78">$H78 *
IF(ISNUMBER(SEARCH("Rapid",$L78)),7/6,1) *
IF(OR(ISNUMBER(SEARCH("Beam",$L78)),ISNUMBER(SEARCH("Firestorm",$L78))),1, IF(ISNUMBER(SEARCH("Blast",$L78)),(4+$F78+(2-$F78)*0.5)/6*2,(4+$F78)/6)) *
IF(ISNUMBER(SEARCH("Fusion",$L78)), _xlfn.IFS(AC$24-$I78 &lt;=1, 9/10, AC$24-$I78 &lt;=10,(11-(AC$24-$I78))/10, AC$24-$I78 &gt;=11, 0),
_xlfn.IFS(AC$24-$I78 &lt;=1, 5/6, AC$24-$I78 &lt;=5, (7-(AC$24-$I78))/6, AND(AC$24-$I78 =6,NOT(_xlfn.IFNA(ISNUMBER(SEARCH("Rending",$L78)),FALSE))), (7-(AC$24-$I78))/6, AND(AC$24-$I78 &gt;=7,NOT(_xlfn.IFNA(ISNUMBER(SEARCH("Rending",$L78)),FALSE))), 0, AC$24-$I78 =7, (7-(AC$24-1-$I78))/6, AC$24-$I78 =8, (7-(AC$24-2-$I78))/6*2/3, AC$24-$I78 =9, (7-(AC$24-3-$I78))/6*1/3, TRUE, 0)) *
IF(ISNUMBER(SEARCH("Ordinance",$L78)),7/6,1) *
IF(OR(ISNUMBER(SEARCH("Melee",$L78)),ISNUMBER(SEARCH("Bypass",$L78))),1.5,1)</f>
        <v>0</v>
      </c>
      <c r="AD78" s="17" cm="1">
        <f t="array" ref="AD78">$H78 *
IF(ISNUMBER(SEARCH("Rapid",$L78)),7/6,1) *
IF(OR(ISNUMBER(SEARCH("Beam",$L78)),ISNUMBER(SEARCH("Firestorm",$L78))),1, IF(ISNUMBER(SEARCH("Blast",$L78)),(4+$F78+(2-$F78)*0.5)/6*2,(4+$F78)/6)) *
IF(ISNUMBER(SEARCH("Fusion",$L78)), _xlfn.IFS(AD$24-$I78 &lt;=1, 9/10, AD$24-$I78 &lt;=10,(11-(AD$24-$I78))/10, AD$24-$I78 &gt;=11, 0),
_xlfn.IFS(AD$24-$I78 &lt;=1, 5/6, AD$24-$I78 &lt;=5, (7-(AD$24-$I78))/6, AND(AD$24-$I78 =6,NOT(_xlfn.IFNA(ISNUMBER(SEARCH("Rending",$L78)),FALSE))), (7-(AD$24-$I78))/6, AND(AD$24-$I78 &gt;=7,NOT(_xlfn.IFNA(ISNUMBER(SEARCH("Rending",$L78)),FALSE))), 0, AD$24-$I78 =7, (7-(AD$24-1-$I78))/6, AD$24-$I78 =8, (7-(AD$24-2-$I78))/6*2/3, AD$24-$I78 =9, (7-(AD$24-3-$I78))/6*1/3, TRUE, 0)) *
IF(ISNUMBER(SEARCH("Ordinance",$L78)),7/6,1) *
IF(OR(ISNUMBER(SEARCH("Melee",$L78)),ISNUMBER(SEARCH("Bypass",$L78))),1.5,1)</f>
        <v>0</v>
      </c>
      <c r="AE78" s="17" cm="1">
        <f t="array" ref="AE78">$H78 *
IF(ISNUMBER(SEARCH("Rapid",$L78)),7/6,1) *
IF(OR(ISNUMBER(SEARCH("Beam",$L78)),ISNUMBER(SEARCH("Firestorm",$L78))),1, IF(ISNUMBER(SEARCH("Blast",$L78)),(4+$F78+(2-$F78)*0.5)/6*2,(4+$F78)/6)) *
IF(ISNUMBER(SEARCH("Fusion",$L78)), _xlfn.IFS(AE$24-$I78 &lt;=1, 9/10, AE$24-$I78 &lt;=10,(11-(AE$24-$I78))/10, AE$24-$I78 &gt;=11, 0),
_xlfn.IFS(AE$24-$I78 &lt;=1, 5/6, AE$24-$I78 &lt;=5, (7-(AE$24-$I78))/6, AND(AE$24-$I78 =6,NOT(_xlfn.IFNA(ISNUMBER(SEARCH("Rending",$L78)),FALSE))), (7-(AE$24-$I78))/6, AND(AE$24-$I78 &gt;=7,NOT(_xlfn.IFNA(ISNUMBER(SEARCH("Rending",$L78)),FALSE))), 0, AE$24-$I78 =7, (7-(AE$24-1-$I78))/6, AE$24-$I78 =8, (7-(AE$24-2-$I78))/6*2/3, AE$24-$I78 =9, (7-(AE$24-3-$I78))/6*1/3, TRUE, 0)) *
IF(ISNUMBER(SEARCH("Ordinance",$L78)),7/6,1) *
IF(OR(ISNUMBER(SEARCH("Melee",$L78)),ISNUMBER(SEARCH("Bypass",$L78))),1.5,1)</f>
        <v>0</v>
      </c>
      <c r="AF78" s="17" cm="1">
        <f t="array" ref="AF78">$H78 *
IF(ISNUMBER(SEARCH("Rapid",$L78)),7/6,1) *
IF(OR(ISNUMBER(SEARCH("Beam",$L78)),ISNUMBER(SEARCH("Firestorm",$L78))),1, IF(ISNUMBER(SEARCH("Blast",$L78)),(4+$F78+(2-$F78)*0.5)/6*2,(4+$F78)/6)) *
IF(ISNUMBER(SEARCH("Fusion",$L78)), _xlfn.IFS(AF$24-$I78 &lt;=1, 9/10, AF$24-$I78 &lt;=10,(11-(AF$24-$I78))/10, AF$24-$I78 &gt;=11, 0),
_xlfn.IFS(AF$24-$I78 &lt;=1, 5/6, AF$24-$I78 &lt;=5, (7-(AF$24-$I78))/6, AND(AF$24-$I78 =6,NOT(_xlfn.IFNA(ISNUMBER(SEARCH("Rending",$L78)),FALSE))), (7-(AF$24-$I78))/6, AND(AF$24-$I78 &gt;=7,NOT(_xlfn.IFNA(ISNUMBER(SEARCH("Rending",$L78)),FALSE))), 0, AF$24-$I78 =7, (7-(AF$24-1-$I78))/6, AF$24-$I78 =8, (7-(AF$24-2-$I78))/6*2/3, AF$24-$I78 =9, (7-(AF$24-3-$I78))/6*1/3, TRUE, 0)) *
IF(ISNUMBER(SEARCH("Ordinance",$L78)),7/6,1) *
IF(OR(ISNUMBER(SEARCH("Melee",$L78)),ISNUMBER(SEARCH("Bypass",$L78))),1.5,1)</f>
        <v>0</v>
      </c>
      <c r="AG78" s="16">
        <f t="shared" si="22"/>
        <v>0</v>
      </c>
      <c r="AH78" s="16">
        <f t="shared" si="23"/>
        <v>0</v>
      </c>
      <c r="AI78" s="17" cm="1">
        <f t="array" ref="AI78">$H78 *
IF(ISNUMBER(SEARCH("Rapid",$L78)),7/6,1) *
IF(OR(ISNUMBER(SEARCH("Beam",$L78)),ISNUMBER(SEARCH("Firestorm",$L78))),1, IF(ISNUMBER(SEARCH("Blast",$L78)),(4+$G78+(2-$G78)*0.5)/6*2,(4+$G78)/6)) *
_xlfn.IFS(AI$24-$I78 &lt;=1, 5/6, AI$24-$I78 &lt;=5, (7-(AI$24-$I78))/6, AND(AI$24-$I78 =6,NOT(_xlfn.IFNA(ISNUMBER(SEARCH("Rending",$L78)),FALSE))), (7-(AI$24-$I78))/6, AND(AI$24-$I78 &gt;=7,NOT(_xlfn.IFNA(ISNUMBER(SEARCH("Rending",$L78)),FALSE))), 0, AI$24-$I78 =7, (7-(AI$24-1-$I78))/6, AI$24-$I78 =8, (7-(AI$24-2-$I78))/6*2/3, AI$24-$I78 =9, (7-(AI$24-3-$I78))/6*1/3, TRUE, 0) *
IF(ISNUMBER(SEARCH("Ordinance",$L78)),7/6,1) *
IF(OR(ISNUMBER(SEARCH("Melee",$L78)),ISNUMBER(SEARCH("Bypass",$L78))),1.5,1)</f>
        <v>0</v>
      </c>
      <c r="AJ78" s="17" cm="1">
        <f t="array" ref="AJ78">$H78 *
IF(ISNUMBER(SEARCH("Rapid",$L78)),7/6,1) *
IF(OR(ISNUMBER(SEARCH("Beam",$L78)),ISNUMBER(SEARCH("Firestorm",$L78))),1, IF(ISNUMBER(SEARCH("Blast",$L78)),(4+$G78+(2-$G78)*0.5)/6*2,(4+$G78)/6)) *
_xlfn.IFS(AJ$24-$I78 &lt;=1, 5/6, AJ$24-$I78 &lt;=5, (7-(AJ$24-$I78))/6, AND(AJ$24-$I78 =6,NOT(_xlfn.IFNA(ISNUMBER(SEARCH("Rending",$L78)),FALSE))), (7-(AJ$24-$I78))/6, AND(AJ$24-$I78 &gt;=7,NOT(_xlfn.IFNA(ISNUMBER(SEARCH("Rending",$L78)),FALSE))), 0, AJ$24-$I78 =7, (7-(AJ$24-1-$I78))/6, AJ$24-$I78 =8, (7-(AJ$24-2-$I78))/6*2/3, AJ$24-$I78 =9, (7-(AJ$24-3-$I78))/6*1/3, TRUE, 0) *
IF(ISNUMBER(SEARCH("Ordinance",$L78)),7/6,1) *
IF(OR(ISNUMBER(SEARCH("Melee",$L78)),ISNUMBER(SEARCH("Bypass",$L78))),1.5,1)</f>
        <v>0</v>
      </c>
      <c r="AK78" s="17" cm="1">
        <f t="array" ref="AK78">$H78 *
IF(ISNUMBER(SEARCH("Rapid",$L78)),7/6,1) *
IF(OR(ISNUMBER(SEARCH("Beam",$L78)),ISNUMBER(SEARCH("Firestorm",$L78))),1, IF(ISNUMBER(SEARCH("Blast",$L78)),(4+$G78+(2-$G78)*0.5)/6*2,(4+$G78)/6)) *
_xlfn.IFS(AK$24-$I78 &lt;=1, 5/6, AK$24-$I78 &lt;=5, (7-(AK$24-$I78))/6, AND(AK$24-$I78 =6,NOT(_xlfn.IFNA(ISNUMBER(SEARCH("Rending",$L78)),FALSE))), (7-(AK$24-$I78))/6, AND(AK$24-$I78 &gt;=7,NOT(_xlfn.IFNA(ISNUMBER(SEARCH("Rending",$L78)),FALSE))), 0, AK$24-$I78 =7, (7-(AK$24-1-$I78))/6, AK$24-$I78 =8, (7-(AK$24-2-$I78))/6*2/3, AK$24-$I78 =9, (7-(AK$24-3-$I78))/6*1/3, TRUE, 0) *
IF(ISNUMBER(SEARCH("Ordinance",$L78)),7/6,1) *
IF(OR(ISNUMBER(SEARCH("Melee",$L78)),ISNUMBER(SEARCH("Bypass",$L78))),1.5,1)</f>
        <v>0</v>
      </c>
      <c r="AL78" s="17" cm="1">
        <f t="array" ref="AL78">$H78 *
IF(ISNUMBER(SEARCH("Rapid",$L78)),7/6,1) *
IF(OR(ISNUMBER(SEARCH("Beam",$L78)),ISNUMBER(SEARCH("Firestorm",$L78))),1, IF(ISNUMBER(SEARCH("Blast",$L78)),(4+$G78+(2-$G78)*0.5)/6*2,(4+$G78)/6)) *
_xlfn.IFS(AL$24-$I78 &lt;=1, 5/6, AL$24-$I78 &lt;=5, (7-(AL$24-$I78))/6, AND(AL$24-$I78 =6,NOT(_xlfn.IFNA(ISNUMBER(SEARCH("Rending",$L78)),FALSE))), (7-(AL$24-$I78))/6, AND(AL$24-$I78 &gt;=7,NOT(_xlfn.IFNA(ISNUMBER(SEARCH("Rending",$L78)),FALSE))), 0, AL$24-$I78 =7, (7-(AL$24-1-$I78))/6, AL$24-$I78 =8, (7-(AL$24-2-$I78))/6*2/3, AL$24-$I78 =9, (7-(AL$24-3-$I78))/6*1/3, TRUE, 0) *
IF(ISNUMBER(SEARCH("Ordinance",$L78)),7/6,1) *
IF(OR(ISNUMBER(SEARCH("Melee",$L78)),ISNUMBER(SEARCH("Bypass",$L78))),1.5,1)</f>
        <v>0</v>
      </c>
      <c r="AM78" s="17" cm="1">
        <f t="array" ref="AM78">$H78 *
IF(ISNUMBER(SEARCH("Rapid",$L78)),7/6,1) *
IF(OR(ISNUMBER(SEARCH("Beam",$L78)),ISNUMBER(SEARCH("Firestorm",$L78))),1, IF(ISNUMBER(SEARCH("Blast",$L78)),(4+$G78+(2-$G78)*0.5)/6*2,(4+$G78)/6)) *
_xlfn.IFS(AM$24-$I78 &lt;=1, 5/6, AM$24-$I78 &lt;=5, (7-(AM$24-$I78))/6, AND(AM$24-$I78 =6,NOT(_xlfn.IFNA(ISNUMBER(SEARCH("Rending",$L78)),FALSE))), (7-(AM$24-$I78))/6, AND(AM$24-$I78 &gt;=7,NOT(_xlfn.IFNA(ISNUMBER(SEARCH("Rending",$L78)),FALSE))), 0, AM$24-$I78 =7, (7-(AM$24-1-$I78))/6, AM$24-$I78 =8, (7-(AM$24-2-$I78))/6*2/3, AM$24-$I78 =9, (7-(AM$24-3-$I78))/6*1/3, TRUE, 0) *
IF(ISNUMBER(SEARCH("Ordinance",$L78)),7/6,1) *
IF(OR(ISNUMBER(SEARCH("Melee",$L78)),ISNUMBER(SEARCH("Bypass",$L78))),1.5,1)</f>
        <v>0</v>
      </c>
      <c r="AN78" s="17" cm="1">
        <f t="array" ref="AN78">$H78 *
IF(ISNUMBER(SEARCH("Rapid",$L78)),7/6,1) *
IF(OR(ISNUMBER(SEARCH("Beam",$L78)),ISNUMBER(SEARCH("Firestorm",$L78))),1, IF(ISNUMBER(SEARCH("Blast",$L78)),(4+$G78+(2-$G78)*0.5)/6*2,(4+$G78)/6)) *
_xlfn.IFS(AN$24-$I78 &lt;=1, 5/6, AN$24-$I78 &lt;=5, (7-(AN$24-$I78))/6, AND(AN$24-$I78 =6,NOT(_xlfn.IFNA(ISNUMBER(SEARCH("Rending",$L78)),FALSE))), (7-(AN$24-$I78))/6, AND(AN$24-$I78 &gt;=7,NOT(_xlfn.IFNA(ISNUMBER(SEARCH("Rending",$L78)),FALSE))), 0, AN$24-$I78 =7, (7-(AN$24-1-$I78))/6, AN$24-$I78 =8, (7-(AN$24-2-$I78))/6*2/3, AN$24-$I78 =9, (7-(AN$24-3-$I78))/6*1/3, TRUE, 0) *
IF(ISNUMBER(SEARCH("Ordinance",$L78)),7/6,1) *
IF(OR(ISNUMBER(SEARCH("Melee",$L78)),ISNUMBER(SEARCH("Bypass",$L78))),1.5,1)</f>
        <v>0</v>
      </c>
      <c r="AO78" s="17" cm="1">
        <f t="array" ref="AO78">$H78 *
IF(ISNUMBER(SEARCH("Rapid",$L78)),7/6,1) *
IF(OR(ISNUMBER(SEARCH("Beam",$L78)),ISNUMBER(SEARCH("Firestorm",$L78))),1, IF(ISNUMBER(SEARCH("Blast",$L78)),(4+$G78+(2-$G78)*0.5)/6*2,(4+$G78)/6)) *
_xlfn.IFS(AO$24-$I78 &lt;=1, 5/6, AO$24-$I78 &lt;=5, (7-(AO$24-$I78))/6, AND(AO$24-$I78 =6,NOT(_xlfn.IFNA(ISNUMBER(SEARCH("Rending",$L78)),FALSE))), (7-(AO$24-$I78))/6, AND(AO$24-$I78 &gt;=7,NOT(_xlfn.IFNA(ISNUMBER(SEARCH("Rending",$L78)),FALSE))), 0, AO$24-$I78 =7, (7-(AO$24-1-$I78))/6, AO$24-$I78 =8, (7-(AO$24-2-$I78))/6*2/3, AO$24-$I78 =9, (7-(AO$24-3-$I78))/6*1/3, TRUE, 0) *
IF(ISNUMBER(SEARCH("Ordinance",$L78)),7/6,1) *
IF(OR(ISNUMBER(SEARCH("Melee",$L78)),ISNUMBER(SEARCH("Bypass",$L78))),1.5,1)</f>
        <v>0</v>
      </c>
      <c r="AP78" s="17" cm="1">
        <f t="array" ref="AP78">$H78 *
IF(ISNUMBER(SEARCH("Rapid",$L78)),7/6,1) *
IF(OR(ISNUMBER(SEARCH("Beam",$L78)),ISNUMBER(SEARCH("Firestorm",$L78))),1, IF(ISNUMBER(SEARCH("Blast",$L78)),(4+$G78+(2-$G78)*0.5)/6*2,(4+$G78)/6)) *
_xlfn.IFS(AP$24-$I78 &lt;=1, 5/6, AP$24-$I78 &lt;=5, (7-(AP$24-$I78))/6, AND(AP$24-$I78 =6,NOT(_xlfn.IFNA(ISNUMBER(SEARCH("Rending",$L78)),FALSE))), (7-(AP$24-$I78))/6, AND(AP$24-$I78 &gt;=7,NOT(_xlfn.IFNA(ISNUMBER(SEARCH("Rending",$L78)),FALSE))), 0, AP$24-$I78 =7, (7-(AP$24-1-$I78))/6, AP$24-$I78 =8, (7-(AP$24-2-$I78))/6*2/3, AP$24-$I78 =9, (7-(AP$24-3-$I78))/6*1/3, TRUE, 0) *
IF(ISNUMBER(SEARCH("Ordinance",$L78)),7/6,1) *
IF(OR(ISNUMBER(SEARCH("Melee",$L78)),ISNUMBER(SEARCH("Bypass",$L78))),1.5,1)</f>
        <v>0</v>
      </c>
      <c r="AQ78" s="17" cm="1">
        <f t="array" ref="AQ78">$H78 *
IF(ISNUMBER(SEARCH("Rapid",$L78)),7/6,1) *
IF(OR(ISNUMBER(SEARCH("Beam",$L78)),ISNUMBER(SEARCH("Firestorm",$L78))),1, IF(ISNUMBER(SEARCH("Blast",$L78)),(4+$G78+(2-$G78)*0.5)/6*2,(4+$G78)/6)) *
_xlfn.IFS(AQ$24-$I78 &lt;=1, 5/6, AQ$24-$I78 &lt;=5, (7-(AQ$24-$I78))/6, AND(AQ$24-$I78 =6,NOT(_xlfn.IFNA(ISNUMBER(SEARCH("Rending",$L78)),FALSE))), (7-(AQ$24-$I78))/6, AND(AQ$24-$I78 &gt;=7,NOT(_xlfn.IFNA(ISNUMBER(SEARCH("Rending",$L78)),FALSE))), 0, AQ$24-$I78 =7, (7-(AQ$24-1-$I78))/6, AQ$24-$I78 =8, (7-(AQ$24-2-$I78))/6*2/3, AQ$24-$I78 =9, (7-(AQ$24-3-$I78))/6*1/3, TRUE, 0) *
IF(ISNUMBER(SEARCH("Ordinance",$L78)),7/6,1) *
IF(OR(ISNUMBER(SEARCH("Melee",$L78)),ISNUMBER(SEARCH("Bypass",$L78))),1.5,1)</f>
        <v>0</v>
      </c>
    </row>
    <row r="79" spans="1:48" x14ac:dyDescent="0.3">
      <c r="A79" s="6" t="s">
        <v>229</v>
      </c>
      <c r="V79" s="16">
        <f t="shared" si="20"/>
        <v>0</v>
      </c>
      <c r="W79" s="16">
        <f t="shared" si="21"/>
        <v>0</v>
      </c>
      <c r="X79" s="17" cm="1">
        <f t="array" ref="X79">$H79 *
IF(ISNUMBER(SEARCH("Rapid",$L79)),7/6,1) *
IF(OR(ISNUMBER(SEARCH("Beam",$L79)),ISNUMBER(SEARCH("Firestorm",$L79))),1, IF(ISNUMBER(SEARCH("Blast",$L79)),(4+$F79+(2-$F79)*0.5)/6*2,(4+$F79)/6)) *
IF(ISNUMBER(SEARCH("Fusion",$L79)), _xlfn.IFS(X$24-$I79 &lt;=1, 9/10, X$24-$I79 &lt;=10,(11-(X$24-$I79))/10, X$24-$I79 &gt;=11, 0),
_xlfn.IFS(X$24-$I79 &lt;=1, 5/6, X$24-$I79 &lt;=5, (7-(X$24-$I79))/6, AND(X$24-$I79 =6,NOT(_xlfn.IFNA(ISNUMBER(SEARCH("Rending",$L79)),FALSE))), (7-(X$24-$I79))/6, AND(X$24-$I79 &gt;=7,NOT(_xlfn.IFNA(ISNUMBER(SEARCH("Rending",$L79)),FALSE))), 0, X$24-$I79 =7, (7-(X$24-1-$I79))/6, X$24-$I79 =8, (7-(X$24-2-$I79))/6*2/3, X$24-$I79 =9, (7-(X$24-3-$I79))/6*1/3, TRUE, 0)) *
IF(ISNUMBER(SEARCH("Ordinance",$L79)),7/6,1) *
IF(OR(ISNUMBER(SEARCH("Melee",$L79)),ISNUMBER(SEARCH("Bypass",$L79))),1.5,1)</f>
        <v>0</v>
      </c>
      <c r="Y79" s="17" cm="1">
        <f t="array" ref="Y79">$H79 *
IF(ISNUMBER(SEARCH("Rapid",$L79)),7/6,1) *
IF(OR(ISNUMBER(SEARCH("Beam",$L79)),ISNUMBER(SEARCH("Firestorm",$L79))),1, IF(ISNUMBER(SEARCH("Blast",$L79)),(4+$F79+(2-$F79)*0.5)/6*2,(4+$F79)/6)) *
IF(ISNUMBER(SEARCH("Fusion",$L79)), _xlfn.IFS(Y$24-$I79 &lt;=1, 9/10, Y$24-$I79 &lt;=10,(11-(Y$24-$I79))/10, Y$24-$I79 &gt;=11, 0),
_xlfn.IFS(Y$24-$I79 &lt;=1, 5/6, Y$24-$I79 &lt;=5, (7-(Y$24-$I79))/6, AND(Y$24-$I79 =6,NOT(_xlfn.IFNA(ISNUMBER(SEARCH("Rending",$L79)),FALSE))), (7-(Y$24-$I79))/6, AND(Y$24-$I79 &gt;=7,NOT(_xlfn.IFNA(ISNUMBER(SEARCH("Rending",$L79)),FALSE))), 0, Y$24-$I79 =7, (7-(Y$24-1-$I79))/6, Y$24-$I79 =8, (7-(Y$24-2-$I79))/6*2/3, Y$24-$I79 =9, (7-(Y$24-3-$I79))/6*1/3, TRUE, 0)) *
IF(ISNUMBER(SEARCH("Ordinance",$L79)),7/6,1) *
IF(OR(ISNUMBER(SEARCH("Melee",$L79)),ISNUMBER(SEARCH("Bypass",$L79))),1.5,1)</f>
        <v>0</v>
      </c>
      <c r="Z79" s="17" cm="1">
        <f t="array" ref="Z79">$H79 *
IF(ISNUMBER(SEARCH("Rapid",$L79)),7/6,1) *
IF(OR(ISNUMBER(SEARCH("Beam",$L79)),ISNUMBER(SEARCH("Firestorm",$L79))),1, IF(ISNUMBER(SEARCH("Blast",$L79)),(4+$F79+(2-$F79)*0.5)/6*2,(4+$F79)/6)) *
IF(ISNUMBER(SEARCH("Fusion",$L79)), _xlfn.IFS(Z$24-$I79 &lt;=1, 9/10, Z$24-$I79 &lt;=10,(11-(Z$24-$I79))/10, Z$24-$I79 &gt;=11, 0),
_xlfn.IFS(Z$24-$I79 &lt;=1, 5/6, Z$24-$I79 &lt;=5, (7-(Z$24-$I79))/6, AND(Z$24-$I79 =6,NOT(_xlfn.IFNA(ISNUMBER(SEARCH("Rending",$L79)),FALSE))), (7-(Z$24-$I79))/6, AND(Z$24-$I79 &gt;=7,NOT(_xlfn.IFNA(ISNUMBER(SEARCH("Rending",$L79)),FALSE))), 0, Z$24-$I79 =7, (7-(Z$24-1-$I79))/6, Z$24-$I79 =8, (7-(Z$24-2-$I79))/6*2/3, Z$24-$I79 =9, (7-(Z$24-3-$I79))/6*1/3, TRUE, 0)) *
IF(ISNUMBER(SEARCH("Ordinance",$L79)),7/6,1) *
IF(OR(ISNUMBER(SEARCH("Melee",$L79)),ISNUMBER(SEARCH("Bypass",$L79))),1.5,1)</f>
        <v>0</v>
      </c>
      <c r="AA79" s="17" cm="1">
        <f t="array" ref="AA79">$H79 *
IF(ISNUMBER(SEARCH("Rapid",$L79)),7/6,1) *
IF(OR(ISNUMBER(SEARCH("Beam",$L79)),ISNUMBER(SEARCH("Firestorm",$L79))),1, IF(ISNUMBER(SEARCH("Blast",$L79)),(4+$F79+(2-$F79)*0.5)/6*2,(4+$F79)/6)) *
IF(ISNUMBER(SEARCH("Fusion",$L79)), _xlfn.IFS(AA$24-$I79 &lt;=1, 9/10, AA$24-$I79 &lt;=10,(11-(AA$24-$I79))/10, AA$24-$I79 &gt;=11, 0),
_xlfn.IFS(AA$24-$I79 &lt;=1, 5/6, AA$24-$I79 &lt;=5, (7-(AA$24-$I79))/6, AND(AA$24-$I79 =6,NOT(_xlfn.IFNA(ISNUMBER(SEARCH("Rending",$L79)),FALSE))), (7-(AA$24-$I79))/6, AND(AA$24-$I79 &gt;=7,NOT(_xlfn.IFNA(ISNUMBER(SEARCH("Rending",$L79)),FALSE))), 0, AA$24-$I79 =7, (7-(AA$24-1-$I79))/6, AA$24-$I79 =8, (7-(AA$24-2-$I79))/6*2/3, AA$24-$I79 =9, (7-(AA$24-3-$I79))/6*1/3, TRUE, 0)) *
IF(ISNUMBER(SEARCH("Ordinance",$L79)),7/6,1) *
IF(OR(ISNUMBER(SEARCH("Melee",$L79)),ISNUMBER(SEARCH("Bypass",$L79))),1.5,1)</f>
        <v>0</v>
      </c>
      <c r="AB79" s="17" cm="1">
        <f t="array" ref="AB79">$H79 *
IF(ISNUMBER(SEARCH("Rapid",$L79)),7/6,1) *
IF(OR(ISNUMBER(SEARCH("Beam",$L79)),ISNUMBER(SEARCH("Firestorm",$L79))),1, IF(ISNUMBER(SEARCH("Blast",$L79)),(4+$F79+(2-$F79)*0.5)/6*2,(4+$F79)/6)) *
IF(ISNUMBER(SEARCH("Fusion",$L79)), _xlfn.IFS(AB$24-$I79 &lt;=1, 9/10, AB$24-$I79 &lt;=10,(11-(AB$24-$I79))/10, AB$24-$I79 &gt;=11, 0),
_xlfn.IFS(AB$24-$I79 &lt;=1, 5/6, AB$24-$I79 &lt;=5, (7-(AB$24-$I79))/6, AND(AB$24-$I79 =6,NOT(_xlfn.IFNA(ISNUMBER(SEARCH("Rending",$L79)),FALSE))), (7-(AB$24-$I79))/6, AND(AB$24-$I79 &gt;=7,NOT(_xlfn.IFNA(ISNUMBER(SEARCH("Rending",$L79)),FALSE))), 0, AB$24-$I79 =7, (7-(AB$24-1-$I79))/6, AB$24-$I79 =8, (7-(AB$24-2-$I79))/6*2/3, AB$24-$I79 =9, (7-(AB$24-3-$I79))/6*1/3, TRUE, 0)) *
IF(ISNUMBER(SEARCH("Ordinance",$L79)),7/6,1) *
IF(OR(ISNUMBER(SEARCH("Melee",$L79)),ISNUMBER(SEARCH("Bypass",$L79))),1.5,1)</f>
        <v>0</v>
      </c>
      <c r="AC79" s="17" cm="1">
        <f t="array" ref="AC79">$H79 *
IF(ISNUMBER(SEARCH("Rapid",$L79)),7/6,1) *
IF(OR(ISNUMBER(SEARCH("Beam",$L79)),ISNUMBER(SEARCH("Firestorm",$L79))),1, IF(ISNUMBER(SEARCH("Blast",$L79)),(4+$F79+(2-$F79)*0.5)/6*2,(4+$F79)/6)) *
IF(ISNUMBER(SEARCH("Fusion",$L79)), _xlfn.IFS(AC$24-$I79 &lt;=1, 9/10, AC$24-$I79 &lt;=10,(11-(AC$24-$I79))/10, AC$24-$I79 &gt;=11, 0),
_xlfn.IFS(AC$24-$I79 &lt;=1, 5/6, AC$24-$I79 &lt;=5, (7-(AC$24-$I79))/6, AND(AC$24-$I79 =6,NOT(_xlfn.IFNA(ISNUMBER(SEARCH("Rending",$L79)),FALSE))), (7-(AC$24-$I79))/6, AND(AC$24-$I79 &gt;=7,NOT(_xlfn.IFNA(ISNUMBER(SEARCH("Rending",$L79)),FALSE))), 0, AC$24-$I79 =7, (7-(AC$24-1-$I79))/6, AC$24-$I79 =8, (7-(AC$24-2-$I79))/6*2/3, AC$24-$I79 =9, (7-(AC$24-3-$I79))/6*1/3, TRUE, 0)) *
IF(ISNUMBER(SEARCH("Ordinance",$L79)),7/6,1) *
IF(OR(ISNUMBER(SEARCH("Melee",$L79)),ISNUMBER(SEARCH("Bypass",$L79))),1.5,1)</f>
        <v>0</v>
      </c>
      <c r="AD79" s="17" cm="1">
        <f t="array" ref="AD79">$H79 *
IF(ISNUMBER(SEARCH("Rapid",$L79)),7/6,1) *
IF(OR(ISNUMBER(SEARCH("Beam",$L79)),ISNUMBER(SEARCH("Firestorm",$L79))),1, IF(ISNUMBER(SEARCH("Blast",$L79)),(4+$F79+(2-$F79)*0.5)/6*2,(4+$F79)/6)) *
IF(ISNUMBER(SEARCH("Fusion",$L79)), _xlfn.IFS(AD$24-$I79 &lt;=1, 9/10, AD$24-$I79 &lt;=10,(11-(AD$24-$I79))/10, AD$24-$I79 &gt;=11, 0),
_xlfn.IFS(AD$24-$I79 &lt;=1, 5/6, AD$24-$I79 &lt;=5, (7-(AD$24-$I79))/6, AND(AD$24-$I79 =6,NOT(_xlfn.IFNA(ISNUMBER(SEARCH("Rending",$L79)),FALSE))), (7-(AD$24-$I79))/6, AND(AD$24-$I79 &gt;=7,NOT(_xlfn.IFNA(ISNUMBER(SEARCH("Rending",$L79)),FALSE))), 0, AD$24-$I79 =7, (7-(AD$24-1-$I79))/6, AD$24-$I79 =8, (7-(AD$24-2-$I79))/6*2/3, AD$24-$I79 =9, (7-(AD$24-3-$I79))/6*1/3, TRUE, 0)) *
IF(ISNUMBER(SEARCH("Ordinance",$L79)),7/6,1) *
IF(OR(ISNUMBER(SEARCH("Melee",$L79)),ISNUMBER(SEARCH("Bypass",$L79))),1.5,1)</f>
        <v>0</v>
      </c>
      <c r="AE79" s="17" cm="1">
        <f t="array" ref="AE79">$H79 *
IF(ISNUMBER(SEARCH("Rapid",$L79)),7/6,1) *
IF(OR(ISNUMBER(SEARCH("Beam",$L79)),ISNUMBER(SEARCH("Firestorm",$L79))),1, IF(ISNUMBER(SEARCH("Blast",$L79)),(4+$F79+(2-$F79)*0.5)/6*2,(4+$F79)/6)) *
IF(ISNUMBER(SEARCH("Fusion",$L79)), _xlfn.IFS(AE$24-$I79 &lt;=1, 9/10, AE$24-$I79 &lt;=10,(11-(AE$24-$I79))/10, AE$24-$I79 &gt;=11, 0),
_xlfn.IFS(AE$24-$I79 &lt;=1, 5/6, AE$24-$I79 &lt;=5, (7-(AE$24-$I79))/6, AND(AE$24-$I79 =6,NOT(_xlfn.IFNA(ISNUMBER(SEARCH("Rending",$L79)),FALSE))), (7-(AE$24-$I79))/6, AND(AE$24-$I79 &gt;=7,NOT(_xlfn.IFNA(ISNUMBER(SEARCH("Rending",$L79)),FALSE))), 0, AE$24-$I79 =7, (7-(AE$24-1-$I79))/6, AE$24-$I79 =8, (7-(AE$24-2-$I79))/6*2/3, AE$24-$I79 =9, (7-(AE$24-3-$I79))/6*1/3, TRUE, 0)) *
IF(ISNUMBER(SEARCH("Ordinance",$L79)),7/6,1) *
IF(OR(ISNUMBER(SEARCH("Melee",$L79)),ISNUMBER(SEARCH("Bypass",$L79))),1.5,1)</f>
        <v>0</v>
      </c>
      <c r="AF79" s="17" cm="1">
        <f t="array" ref="AF79">$H79 *
IF(ISNUMBER(SEARCH("Rapid",$L79)),7/6,1) *
IF(OR(ISNUMBER(SEARCH("Beam",$L79)),ISNUMBER(SEARCH("Firestorm",$L79))),1, IF(ISNUMBER(SEARCH("Blast",$L79)),(4+$F79+(2-$F79)*0.5)/6*2,(4+$F79)/6)) *
IF(ISNUMBER(SEARCH("Fusion",$L79)), _xlfn.IFS(AF$24-$I79 &lt;=1, 9/10, AF$24-$I79 &lt;=10,(11-(AF$24-$I79))/10, AF$24-$I79 &gt;=11, 0),
_xlfn.IFS(AF$24-$I79 &lt;=1, 5/6, AF$24-$I79 &lt;=5, (7-(AF$24-$I79))/6, AND(AF$24-$I79 =6,NOT(_xlfn.IFNA(ISNUMBER(SEARCH("Rending",$L79)),FALSE))), (7-(AF$24-$I79))/6, AND(AF$24-$I79 &gt;=7,NOT(_xlfn.IFNA(ISNUMBER(SEARCH("Rending",$L79)),FALSE))), 0, AF$24-$I79 =7, (7-(AF$24-1-$I79))/6, AF$24-$I79 =8, (7-(AF$24-2-$I79))/6*2/3, AF$24-$I79 =9, (7-(AF$24-3-$I79))/6*1/3, TRUE, 0)) *
IF(ISNUMBER(SEARCH("Ordinance",$L79)),7/6,1) *
IF(OR(ISNUMBER(SEARCH("Melee",$L79)),ISNUMBER(SEARCH("Bypass",$L79))),1.5,1)</f>
        <v>0</v>
      </c>
      <c r="AG79" s="16">
        <f t="shared" si="22"/>
        <v>0</v>
      </c>
      <c r="AH79" s="16">
        <f t="shared" si="23"/>
        <v>0</v>
      </c>
      <c r="AI79" s="17" cm="1">
        <f t="array" ref="AI79">$H79 *
IF(ISNUMBER(SEARCH("Rapid",$L79)),7/6,1) *
IF(OR(ISNUMBER(SEARCH("Beam",$L79)),ISNUMBER(SEARCH("Firestorm",$L79))),1, IF(ISNUMBER(SEARCH("Blast",$L79)),(4+$G79+(2-$G79)*0.5)/6*2,(4+$G79)/6)) *
_xlfn.IFS(AI$24-$I79 &lt;=1, 5/6, AI$24-$I79 &lt;=5, (7-(AI$24-$I79))/6, AND(AI$24-$I79 =6,NOT(_xlfn.IFNA(ISNUMBER(SEARCH("Rending",$L79)),FALSE))), (7-(AI$24-$I79))/6, AND(AI$24-$I79 &gt;=7,NOT(_xlfn.IFNA(ISNUMBER(SEARCH("Rending",$L79)),FALSE))), 0, AI$24-$I79 =7, (7-(AI$24-1-$I79))/6, AI$24-$I79 =8, (7-(AI$24-2-$I79))/6*2/3, AI$24-$I79 =9, (7-(AI$24-3-$I79))/6*1/3, TRUE, 0) *
IF(ISNUMBER(SEARCH("Ordinance",$L79)),7/6,1) *
IF(OR(ISNUMBER(SEARCH("Melee",$L79)),ISNUMBER(SEARCH("Bypass",$L79))),1.5,1)</f>
        <v>0</v>
      </c>
      <c r="AJ79" s="17" cm="1">
        <f t="array" ref="AJ79">$H79 *
IF(ISNUMBER(SEARCH("Rapid",$L79)),7/6,1) *
IF(OR(ISNUMBER(SEARCH("Beam",$L79)),ISNUMBER(SEARCH("Firestorm",$L79))),1, IF(ISNUMBER(SEARCH("Blast",$L79)),(4+$G79+(2-$G79)*0.5)/6*2,(4+$G79)/6)) *
_xlfn.IFS(AJ$24-$I79 &lt;=1, 5/6, AJ$24-$I79 &lt;=5, (7-(AJ$24-$I79))/6, AND(AJ$24-$I79 =6,NOT(_xlfn.IFNA(ISNUMBER(SEARCH("Rending",$L79)),FALSE))), (7-(AJ$24-$I79))/6, AND(AJ$24-$I79 &gt;=7,NOT(_xlfn.IFNA(ISNUMBER(SEARCH("Rending",$L79)),FALSE))), 0, AJ$24-$I79 =7, (7-(AJ$24-1-$I79))/6, AJ$24-$I79 =8, (7-(AJ$24-2-$I79))/6*2/3, AJ$24-$I79 =9, (7-(AJ$24-3-$I79))/6*1/3, TRUE, 0) *
IF(ISNUMBER(SEARCH("Ordinance",$L79)),7/6,1) *
IF(OR(ISNUMBER(SEARCH("Melee",$L79)),ISNUMBER(SEARCH("Bypass",$L79))),1.5,1)</f>
        <v>0</v>
      </c>
      <c r="AK79" s="17" cm="1">
        <f t="array" ref="AK79">$H79 *
IF(ISNUMBER(SEARCH("Rapid",$L79)),7/6,1) *
IF(OR(ISNUMBER(SEARCH("Beam",$L79)),ISNUMBER(SEARCH("Firestorm",$L79))),1, IF(ISNUMBER(SEARCH("Blast",$L79)),(4+$G79+(2-$G79)*0.5)/6*2,(4+$G79)/6)) *
_xlfn.IFS(AK$24-$I79 &lt;=1, 5/6, AK$24-$I79 &lt;=5, (7-(AK$24-$I79))/6, AND(AK$24-$I79 =6,NOT(_xlfn.IFNA(ISNUMBER(SEARCH("Rending",$L79)),FALSE))), (7-(AK$24-$I79))/6, AND(AK$24-$I79 &gt;=7,NOT(_xlfn.IFNA(ISNUMBER(SEARCH("Rending",$L79)),FALSE))), 0, AK$24-$I79 =7, (7-(AK$24-1-$I79))/6, AK$24-$I79 =8, (7-(AK$24-2-$I79))/6*2/3, AK$24-$I79 =9, (7-(AK$24-3-$I79))/6*1/3, TRUE, 0) *
IF(ISNUMBER(SEARCH("Ordinance",$L79)),7/6,1) *
IF(OR(ISNUMBER(SEARCH("Melee",$L79)),ISNUMBER(SEARCH("Bypass",$L79))),1.5,1)</f>
        <v>0</v>
      </c>
      <c r="AL79" s="17" cm="1">
        <f t="array" ref="AL79">$H79 *
IF(ISNUMBER(SEARCH("Rapid",$L79)),7/6,1) *
IF(OR(ISNUMBER(SEARCH("Beam",$L79)),ISNUMBER(SEARCH("Firestorm",$L79))),1, IF(ISNUMBER(SEARCH("Blast",$L79)),(4+$G79+(2-$G79)*0.5)/6*2,(4+$G79)/6)) *
_xlfn.IFS(AL$24-$I79 &lt;=1, 5/6, AL$24-$I79 &lt;=5, (7-(AL$24-$I79))/6, AND(AL$24-$I79 =6,NOT(_xlfn.IFNA(ISNUMBER(SEARCH("Rending",$L79)),FALSE))), (7-(AL$24-$I79))/6, AND(AL$24-$I79 &gt;=7,NOT(_xlfn.IFNA(ISNUMBER(SEARCH("Rending",$L79)),FALSE))), 0, AL$24-$I79 =7, (7-(AL$24-1-$I79))/6, AL$24-$I79 =8, (7-(AL$24-2-$I79))/6*2/3, AL$24-$I79 =9, (7-(AL$24-3-$I79))/6*1/3, TRUE, 0) *
IF(ISNUMBER(SEARCH("Ordinance",$L79)),7/6,1) *
IF(OR(ISNUMBER(SEARCH("Melee",$L79)),ISNUMBER(SEARCH("Bypass",$L79))),1.5,1)</f>
        <v>0</v>
      </c>
      <c r="AM79" s="17" cm="1">
        <f t="array" ref="AM79">$H79 *
IF(ISNUMBER(SEARCH("Rapid",$L79)),7/6,1) *
IF(OR(ISNUMBER(SEARCH("Beam",$L79)),ISNUMBER(SEARCH("Firestorm",$L79))),1, IF(ISNUMBER(SEARCH("Blast",$L79)),(4+$G79+(2-$G79)*0.5)/6*2,(4+$G79)/6)) *
_xlfn.IFS(AM$24-$I79 &lt;=1, 5/6, AM$24-$I79 &lt;=5, (7-(AM$24-$I79))/6, AND(AM$24-$I79 =6,NOT(_xlfn.IFNA(ISNUMBER(SEARCH("Rending",$L79)),FALSE))), (7-(AM$24-$I79))/6, AND(AM$24-$I79 &gt;=7,NOT(_xlfn.IFNA(ISNUMBER(SEARCH("Rending",$L79)),FALSE))), 0, AM$24-$I79 =7, (7-(AM$24-1-$I79))/6, AM$24-$I79 =8, (7-(AM$24-2-$I79))/6*2/3, AM$24-$I79 =9, (7-(AM$24-3-$I79))/6*1/3, TRUE, 0) *
IF(ISNUMBER(SEARCH("Ordinance",$L79)),7/6,1) *
IF(OR(ISNUMBER(SEARCH("Melee",$L79)),ISNUMBER(SEARCH("Bypass",$L79))),1.5,1)</f>
        <v>0</v>
      </c>
      <c r="AN79" s="17" cm="1">
        <f t="array" ref="AN79">$H79 *
IF(ISNUMBER(SEARCH("Rapid",$L79)),7/6,1) *
IF(OR(ISNUMBER(SEARCH("Beam",$L79)),ISNUMBER(SEARCH("Firestorm",$L79))),1, IF(ISNUMBER(SEARCH("Blast",$L79)),(4+$G79+(2-$G79)*0.5)/6*2,(4+$G79)/6)) *
_xlfn.IFS(AN$24-$I79 &lt;=1, 5/6, AN$24-$I79 &lt;=5, (7-(AN$24-$I79))/6, AND(AN$24-$I79 =6,NOT(_xlfn.IFNA(ISNUMBER(SEARCH("Rending",$L79)),FALSE))), (7-(AN$24-$I79))/6, AND(AN$24-$I79 &gt;=7,NOT(_xlfn.IFNA(ISNUMBER(SEARCH("Rending",$L79)),FALSE))), 0, AN$24-$I79 =7, (7-(AN$24-1-$I79))/6, AN$24-$I79 =8, (7-(AN$24-2-$I79))/6*2/3, AN$24-$I79 =9, (7-(AN$24-3-$I79))/6*1/3, TRUE, 0) *
IF(ISNUMBER(SEARCH("Ordinance",$L79)),7/6,1) *
IF(OR(ISNUMBER(SEARCH("Melee",$L79)),ISNUMBER(SEARCH("Bypass",$L79))),1.5,1)</f>
        <v>0</v>
      </c>
      <c r="AO79" s="17" cm="1">
        <f t="array" ref="AO79">$H79 *
IF(ISNUMBER(SEARCH("Rapid",$L79)),7/6,1) *
IF(OR(ISNUMBER(SEARCH("Beam",$L79)),ISNUMBER(SEARCH("Firestorm",$L79))),1, IF(ISNUMBER(SEARCH("Blast",$L79)),(4+$G79+(2-$G79)*0.5)/6*2,(4+$G79)/6)) *
_xlfn.IFS(AO$24-$I79 &lt;=1, 5/6, AO$24-$I79 &lt;=5, (7-(AO$24-$I79))/6, AND(AO$24-$I79 =6,NOT(_xlfn.IFNA(ISNUMBER(SEARCH("Rending",$L79)),FALSE))), (7-(AO$24-$I79))/6, AND(AO$24-$I79 &gt;=7,NOT(_xlfn.IFNA(ISNUMBER(SEARCH("Rending",$L79)),FALSE))), 0, AO$24-$I79 =7, (7-(AO$24-1-$I79))/6, AO$24-$I79 =8, (7-(AO$24-2-$I79))/6*2/3, AO$24-$I79 =9, (7-(AO$24-3-$I79))/6*1/3, TRUE, 0) *
IF(ISNUMBER(SEARCH("Ordinance",$L79)),7/6,1) *
IF(OR(ISNUMBER(SEARCH("Melee",$L79)),ISNUMBER(SEARCH("Bypass",$L79))),1.5,1)</f>
        <v>0</v>
      </c>
      <c r="AP79" s="17" cm="1">
        <f t="array" ref="AP79">$H79 *
IF(ISNUMBER(SEARCH("Rapid",$L79)),7/6,1) *
IF(OR(ISNUMBER(SEARCH("Beam",$L79)),ISNUMBER(SEARCH("Firestorm",$L79))),1, IF(ISNUMBER(SEARCH("Blast",$L79)),(4+$G79+(2-$G79)*0.5)/6*2,(4+$G79)/6)) *
_xlfn.IFS(AP$24-$I79 &lt;=1, 5/6, AP$24-$I79 &lt;=5, (7-(AP$24-$I79))/6, AND(AP$24-$I79 =6,NOT(_xlfn.IFNA(ISNUMBER(SEARCH("Rending",$L79)),FALSE))), (7-(AP$24-$I79))/6, AND(AP$24-$I79 &gt;=7,NOT(_xlfn.IFNA(ISNUMBER(SEARCH("Rending",$L79)),FALSE))), 0, AP$24-$I79 =7, (7-(AP$24-1-$I79))/6, AP$24-$I79 =8, (7-(AP$24-2-$I79))/6*2/3, AP$24-$I79 =9, (7-(AP$24-3-$I79))/6*1/3, TRUE, 0) *
IF(ISNUMBER(SEARCH("Ordinance",$L79)),7/6,1) *
IF(OR(ISNUMBER(SEARCH("Melee",$L79)),ISNUMBER(SEARCH("Bypass",$L79))),1.5,1)</f>
        <v>0</v>
      </c>
      <c r="AQ79" s="17" cm="1">
        <f t="array" ref="AQ79">$H79 *
IF(ISNUMBER(SEARCH("Rapid",$L79)),7/6,1) *
IF(OR(ISNUMBER(SEARCH("Beam",$L79)),ISNUMBER(SEARCH("Firestorm",$L79))),1, IF(ISNUMBER(SEARCH("Blast",$L79)),(4+$G79+(2-$G79)*0.5)/6*2,(4+$G79)/6)) *
_xlfn.IFS(AQ$24-$I79 &lt;=1, 5/6, AQ$24-$I79 &lt;=5, (7-(AQ$24-$I79))/6, AND(AQ$24-$I79 =6,NOT(_xlfn.IFNA(ISNUMBER(SEARCH("Rending",$L79)),FALSE))), (7-(AQ$24-$I79))/6, AND(AQ$24-$I79 &gt;=7,NOT(_xlfn.IFNA(ISNUMBER(SEARCH("Rending",$L79)),FALSE))), 0, AQ$24-$I79 =7, (7-(AQ$24-1-$I79))/6, AQ$24-$I79 =8, (7-(AQ$24-2-$I79))/6*2/3, AQ$24-$I79 =9, (7-(AQ$24-3-$I79))/6*1/3, TRUE, 0) *
IF(ISNUMBER(SEARCH("Ordinance",$L79)),7/6,1) *
IF(OR(ISNUMBER(SEARCH("Melee",$L79)),ISNUMBER(SEARCH("Bypass",$L79))),1.5,1)</f>
        <v>0</v>
      </c>
    </row>
    <row r="80" spans="1:48" x14ac:dyDescent="0.3">
      <c r="A80" t="s">
        <v>139</v>
      </c>
      <c r="B80" s="3">
        <v>30</v>
      </c>
      <c r="C80" s="3">
        <v>60</v>
      </c>
      <c r="D80" s="3">
        <v>1</v>
      </c>
      <c r="E80" s="3">
        <v>2</v>
      </c>
      <c r="F80" s="10">
        <v>0</v>
      </c>
      <c r="G80" s="10">
        <v>0</v>
      </c>
      <c r="H80" s="3">
        <v>1</v>
      </c>
      <c r="I80" s="3">
        <v>12</v>
      </c>
      <c r="J80" s="3" t="s">
        <v>233</v>
      </c>
      <c r="K80" s="3">
        <v>55</v>
      </c>
      <c r="L80" s="3" t="s">
        <v>234</v>
      </c>
      <c r="M80" s="3" t="s">
        <v>236</v>
      </c>
      <c r="N80" s="3">
        <v>11</v>
      </c>
      <c r="O80" s="3">
        <v>11</v>
      </c>
      <c r="P80" s="3">
        <v>15</v>
      </c>
      <c r="Q80" s="3" t="s">
        <v>200</v>
      </c>
      <c r="R80" s="3">
        <v>7</v>
      </c>
      <c r="S80" s="3">
        <v>9</v>
      </c>
      <c r="T80" s="3">
        <v>5</v>
      </c>
      <c r="V80" s="16">
        <f t="shared" si="20"/>
        <v>0.55555555555555558</v>
      </c>
      <c r="W80" s="16">
        <f t="shared" si="21"/>
        <v>0.83333333333333337</v>
      </c>
      <c r="X80" s="17" cm="1">
        <f t="array" ref="X80">$H80 *
IF(ISNUMBER(SEARCH("Rapid",$L80)),7/6,1) *
IF(OR(ISNUMBER(SEARCH("Beam",$L80)),ISNUMBER(SEARCH("Firestorm",$L80))),1, IF(ISNUMBER(SEARCH("Blast",$L80)),(4+$F80+(2-$F80)*0.5)/6*2,(4+$F80)/6)) *
IF(ISNUMBER(SEARCH("Fusion",$L80)), _xlfn.IFS(X$24-$I80 &lt;=1, 9/10, X$24-$I80 &lt;=10,(11-(X$24-$I80))/10, X$24-$I80 &gt;=11, 0),
_xlfn.IFS(X$24-$I80 &lt;=1, 5/6, X$24-$I80 &lt;=5, (7-(X$24-$I80))/6, AND(X$24-$I80 =6,NOT(_xlfn.IFNA(ISNUMBER(SEARCH("Rending",$L80)),FALSE))), (7-(X$24-$I80))/6, AND(X$24-$I80 &gt;=7,NOT(_xlfn.IFNA(ISNUMBER(SEARCH("Rending",$L80)),FALSE))), 0, X$24-$I80 =7, (7-(X$24-1-$I80))/6, X$24-$I80 =8, (7-(X$24-2-$I80))/6*2/3, X$24-$I80 =9, (7-(X$24-3-$I80))/6*1/3, TRUE, 0)) *
IF(ISNUMBER(SEARCH("Ordinance",$L80)),7/6,1) *
IF(OR(ISNUMBER(SEARCH("Melee",$L80)),ISNUMBER(SEARCH("Bypass",$L80))),1.5,1)</f>
        <v>1.3888888888888891</v>
      </c>
      <c r="Y80" s="17" cm="1">
        <f t="array" ref="Y80">$H80 *
IF(ISNUMBER(SEARCH("Rapid",$L80)),7/6,1) *
IF(OR(ISNUMBER(SEARCH("Beam",$L80)),ISNUMBER(SEARCH("Firestorm",$L80))),1, IF(ISNUMBER(SEARCH("Blast",$L80)),(4+$F80+(2-$F80)*0.5)/6*2,(4+$F80)/6)) *
IF(ISNUMBER(SEARCH("Fusion",$L80)), _xlfn.IFS(Y$24-$I80 &lt;=1, 9/10, Y$24-$I80 &lt;=10,(11-(Y$24-$I80))/10, Y$24-$I80 &gt;=11, 0),
_xlfn.IFS(Y$24-$I80 &lt;=1, 5/6, Y$24-$I80 &lt;=5, (7-(Y$24-$I80))/6, AND(Y$24-$I80 =6,NOT(_xlfn.IFNA(ISNUMBER(SEARCH("Rending",$L80)),FALSE))), (7-(Y$24-$I80))/6, AND(Y$24-$I80 &gt;=7,NOT(_xlfn.IFNA(ISNUMBER(SEARCH("Rending",$L80)),FALSE))), 0, Y$24-$I80 =7, (7-(Y$24-1-$I80))/6, Y$24-$I80 =8, (7-(Y$24-2-$I80))/6*2/3, Y$24-$I80 =9, (7-(Y$24-3-$I80))/6*1/3, TRUE, 0)) *
IF(ISNUMBER(SEARCH("Ordinance",$L80)),7/6,1) *
IF(OR(ISNUMBER(SEARCH("Melee",$L80)),ISNUMBER(SEARCH("Bypass",$L80))),1.5,1)</f>
        <v>1.3888888888888891</v>
      </c>
      <c r="Z80" s="17" cm="1">
        <f t="array" ref="Z80">$H80 *
IF(ISNUMBER(SEARCH("Rapid",$L80)),7/6,1) *
IF(OR(ISNUMBER(SEARCH("Beam",$L80)),ISNUMBER(SEARCH("Firestorm",$L80))),1, IF(ISNUMBER(SEARCH("Blast",$L80)),(4+$F80+(2-$F80)*0.5)/6*2,(4+$F80)/6)) *
IF(ISNUMBER(SEARCH("Fusion",$L80)), _xlfn.IFS(Z$24-$I80 &lt;=1, 9/10, Z$24-$I80 &lt;=10,(11-(Z$24-$I80))/10, Z$24-$I80 &gt;=11, 0),
_xlfn.IFS(Z$24-$I80 &lt;=1, 5/6, Z$24-$I80 &lt;=5, (7-(Z$24-$I80))/6, AND(Z$24-$I80 =6,NOT(_xlfn.IFNA(ISNUMBER(SEARCH("Rending",$L80)),FALSE))), (7-(Z$24-$I80))/6, AND(Z$24-$I80 &gt;=7,NOT(_xlfn.IFNA(ISNUMBER(SEARCH("Rending",$L80)),FALSE))), 0, Z$24-$I80 =7, (7-(Z$24-1-$I80))/6, Z$24-$I80 =8, (7-(Z$24-2-$I80))/6*2/3, Z$24-$I80 =9, (7-(Z$24-3-$I80))/6*1/3, TRUE, 0)) *
IF(ISNUMBER(SEARCH("Ordinance",$L80)),7/6,1) *
IF(OR(ISNUMBER(SEARCH("Melee",$L80)),ISNUMBER(SEARCH("Bypass",$L80))),1.5,1)</f>
        <v>1.3888888888888891</v>
      </c>
      <c r="AA80" s="17" cm="1">
        <f t="array" ref="AA80">$H80 *
IF(ISNUMBER(SEARCH("Rapid",$L80)),7/6,1) *
IF(OR(ISNUMBER(SEARCH("Beam",$L80)),ISNUMBER(SEARCH("Firestorm",$L80))),1, IF(ISNUMBER(SEARCH("Blast",$L80)),(4+$F80+(2-$F80)*0.5)/6*2,(4+$F80)/6)) *
IF(ISNUMBER(SEARCH("Fusion",$L80)), _xlfn.IFS(AA$24-$I80 &lt;=1, 9/10, AA$24-$I80 &lt;=10,(11-(AA$24-$I80))/10, AA$24-$I80 &gt;=11, 0),
_xlfn.IFS(AA$24-$I80 &lt;=1, 5/6, AA$24-$I80 &lt;=5, (7-(AA$24-$I80))/6, AND(AA$24-$I80 =6,NOT(_xlfn.IFNA(ISNUMBER(SEARCH("Rending",$L80)),FALSE))), (7-(AA$24-$I80))/6, AND(AA$24-$I80 &gt;=7,NOT(_xlfn.IFNA(ISNUMBER(SEARCH("Rending",$L80)),FALSE))), 0, AA$24-$I80 =7, (7-(AA$24-1-$I80))/6, AA$24-$I80 =8, (7-(AA$24-2-$I80))/6*2/3, AA$24-$I80 =9, (7-(AA$24-3-$I80))/6*1/3, TRUE, 0)) *
IF(ISNUMBER(SEARCH("Ordinance",$L80)),7/6,1) *
IF(OR(ISNUMBER(SEARCH("Melee",$L80)),ISNUMBER(SEARCH("Bypass",$L80))),1.5,1)</f>
        <v>1.3888888888888891</v>
      </c>
      <c r="AB80" s="17" cm="1">
        <f t="array" ref="AB80">$H80 *
IF(ISNUMBER(SEARCH("Rapid",$L80)),7/6,1) *
IF(OR(ISNUMBER(SEARCH("Beam",$L80)),ISNUMBER(SEARCH("Firestorm",$L80))),1, IF(ISNUMBER(SEARCH("Blast",$L80)),(4+$F80+(2-$F80)*0.5)/6*2,(4+$F80)/6)) *
IF(ISNUMBER(SEARCH("Fusion",$L80)), _xlfn.IFS(AB$24-$I80 &lt;=1, 9/10, AB$24-$I80 &lt;=10,(11-(AB$24-$I80))/10, AB$24-$I80 &gt;=11, 0),
_xlfn.IFS(AB$24-$I80 &lt;=1, 5/6, AB$24-$I80 &lt;=5, (7-(AB$24-$I80))/6, AND(AB$24-$I80 =6,NOT(_xlfn.IFNA(ISNUMBER(SEARCH("Rending",$L80)),FALSE))), (7-(AB$24-$I80))/6, AND(AB$24-$I80 &gt;=7,NOT(_xlfn.IFNA(ISNUMBER(SEARCH("Rending",$L80)),FALSE))), 0, AB$24-$I80 =7, (7-(AB$24-1-$I80))/6, AB$24-$I80 =8, (7-(AB$24-2-$I80))/6*2/3, AB$24-$I80 =9, (7-(AB$24-3-$I80))/6*1/3, TRUE, 0)) *
IF(ISNUMBER(SEARCH("Ordinance",$L80)),7/6,1) *
IF(OR(ISNUMBER(SEARCH("Melee",$L80)),ISNUMBER(SEARCH("Bypass",$L80))),1.5,1)</f>
        <v>1.3888888888888891</v>
      </c>
      <c r="AC80" s="17" cm="1">
        <f t="array" ref="AC80">$H80 *
IF(ISNUMBER(SEARCH("Rapid",$L80)),7/6,1) *
IF(OR(ISNUMBER(SEARCH("Beam",$L80)),ISNUMBER(SEARCH("Firestorm",$L80))),1, IF(ISNUMBER(SEARCH("Blast",$L80)),(4+$F80+(2-$F80)*0.5)/6*2,(4+$F80)/6)) *
IF(ISNUMBER(SEARCH("Fusion",$L80)), _xlfn.IFS(AC$24-$I80 &lt;=1, 9/10, AC$24-$I80 &lt;=10,(11-(AC$24-$I80))/10, AC$24-$I80 &gt;=11, 0),
_xlfn.IFS(AC$24-$I80 &lt;=1, 5/6, AC$24-$I80 &lt;=5, (7-(AC$24-$I80))/6, AND(AC$24-$I80 =6,NOT(_xlfn.IFNA(ISNUMBER(SEARCH("Rending",$L80)),FALSE))), (7-(AC$24-$I80))/6, AND(AC$24-$I80 &gt;=7,NOT(_xlfn.IFNA(ISNUMBER(SEARCH("Rending",$L80)),FALSE))), 0, AC$24-$I80 =7, (7-(AC$24-1-$I80))/6, AC$24-$I80 =8, (7-(AC$24-2-$I80))/6*2/3, AC$24-$I80 =9, (7-(AC$24-3-$I80))/6*1/3, TRUE, 0)) *
IF(ISNUMBER(SEARCH("Ordinance",$L80)),7/6,1) *
IF(OR(ISNUMBER(SEARCH("Melee",$L80)),ISNUMBER(SEARCH("Bypass",$L80))),1.5,1)</f>
        <v>1.3888888888888891</v>
      </c>
      <c r="AD80" s="17" cm="1">
        <f t="array" ref="AD80">$H80 *
IF(ISNUMBER(SEARCH("Rapid",$L80)),7/6,1) *
IF(OR(ISNUMBER(SEARCH("Beam",$L80)),ISNUMBER(SEARCH("Firestorm",$L80))),1, IF(ISNUMBER(SEARCH("Blast",$L80)),(4+$F80+(2-$F80)*0.5)/6*2,(4+$F80)/6)) *
IF(ISNUMBER(SEARCH("Fusion",$L80)), _xlfn.IFS(AD$24-$I80 &lt;=1, 9/10, AD$24-$I80 &lt;=10,(11-(AD$24-$I80))/10, AD$24-$I80 &gt;=11, 0),
_xlfn.IFS(AD$24-$I80 &lt;=1, 5/6, AD$24-$I80 &lt;=5, (7-(AD$24-$I80))/6, AND(AD$24-$I80 =6,NOT(_xlfn.IFNA(ISNUMBER(SEARCH("Rending",$L80)),FALSE))), (7-(AD$24-$I80))/6, AND(AD$24-$I80 &gt;=7,NOT(_xlfn.IFNA(ISNUMBER(SEARCH("Rending",$L80)),FALSE))), 0, AD$24-$I80 =7, (7-(AD$24-1-$I80))/6, AD$24-$I80 =8, (7-(AD$24-2-$I80))/6*2/3, AD$24-$I80 =9, (7-(AD$24-3-$I80))/6*1/3, TRUE, 0)) *
IF(ISNUMBER(SEARCH("Ordinance",$L80)),7/6,1) *
IF(OR(ISNUMBER(SEARCH("Melee",$L80)),ISNUMBER(SEARCH("Bypass",$L80))),1.5,1)</f>
        <v>1.1111111111111112</v>
      </c>
      <c r="AE80" s="17" cm="1">
        <f t="array" ref="AE80">$H80 *
IF(ISNUMBER(SEARCH("Rapid",$L80)),7/6,1) *
IF(OR(ISNUMBER(SEARCH("Beam",$L80)),ISNUMBER(SEARCH("Firestorm",$L80))),1, IF(ISNUMBER(SEARCH("Blast",$L80)),(4+$F80+(2-$F80)*0.5)/6*2,(4+$F80)/6)) *
IF(ISNUMBER(SEARCH("Fusion",$L80)), _xlfn.IFS(AE$24-$I80 &lt;=1, 9/10, AE$24-$I80 &lt;=10,(11-(AE$24-$I80))/10, AE$24-$I80 &gt;=11, 0),
_xlfn.IFS(AE$24-$I80 &lt;=1, 5/6, AE$24-$I80 &lt;=5, (7-(AE$24-$I80))/6, AND(AE$24-$I80 =6,NOT(_xlfn.IFNA(ISNUMBER(SEARCH("Rending",$L80)),FALSE))), (7-(AE$24-$I80))/6, AND(AE$24-$I80 &gt;=7,NOT(_xlfn.IFNA(ISNUMBER(SEARCH("Rending",$L80)),FALSE))), 0, AE$24-$I80 =7, (7-(AE$24-1-$I80))/6, AE$24-$I80 =8, (7-(AE$24-2-$I80))/6*2/3, AE$24-$I80 =9, (7-(AE$24-3-$I80))/6*1/3, TRUE, 0)) *
IF(ISNUMBER(SEARCH("Ordinance",$L80)),7/6,1) *
IF(OR(ISNUMBER(SEARCH("Melee",$L80)),ISNUMBER(SEARCH("Bypass",$L80))),1.5,1)</f>
        <v>0.83333333333333337</v>
      </c>
      <c r="AF80" s="17" cm="1">
        <f t="array" ref="AF80">$H80 *
IF(ISNUMBER(SEARCH("Rapid",$L80)),7/6,1) *
IF(OR(ISNUMBER(SEARCH("Beam",$L80)),ISNUMBER(SEARCH("Firestorm",$L80))),1, IF(ISNUMBER(SEARCH("Blast",$L80)),(4+$F80+(2-$F80)*0.5)/6*2,(4+$F80)/6)) *
IF(ISNUMBER(SEARCH("Fusion",$L80)), _xlfn.IFS(AF$24-$I80 &lt;=1, 9/10, AF$24-$I80 &lt;=10,(11-(AF$24-$I80))/10, AF$24-$I80 &gt;=11, 0),
_xlfn.IFS(AF$24-$I80 &lt;=1, 5/6, AF$24-$I80 &lt;=5, (7-(AF$24-$I80))/6, AND(AF$24-$I80 =6,NOT(_xlfn.IFNA(ISNUMBER(SEARCH("Rending",$L80)),FALSE))), (7-(AF$24-$I80))/6, AND(AF$24-$I80 &gt;=7,NOT(_xlfn.IFNA(ISNUMBER(SEARCH("Rending",$L80)),FALSE))), 0, AF$24-$I80 =7, (7-(AF$24-1-$I80))/6, AF$24-$I80 =8, (7-(AF$24-2-$I80))/6*2/3, AF$24-$I80 =9, (7-(AF$24-3-$I80))/6*1/3, TRUE, 0)) *
IF(ISNUMBER(SEARCH("Ordinance",$L80)),7/6,1) *
IF(OR(ISNUMBER(SEARCH("Melee",$L80)),ISNUMBER(SEARCH("Bypass",$L80))),1.5,1)</f>
        <v>0.55555555555555558</v>
      </c>
      <c r="AG80" s="16">
        <f t="shared" si="22"/>
        <v>0.55555555555555558</v>
      </c>
      <c r="AH80" s="16">
        <f t="shared" si="23"/>
        <v>0.83333333333333337</v>
      </c>
      <c r="AI80" s="17" cm="1">
        <f t="array" ref="AI80">$H80 *
IF(ISNUMBER(SEARCH("Rapid",$L80)),7/6,1) *
IF(OR(ISNUMBER(SEARCH("Beam",$L80)),ISNUMBER(SEARCH("Firestorm",$L80))),1, IF(ISNUMBER(SEARCH("Blast",$L80)),(4+$G80+(2-$G80)*0.5)/6*2,(4+$G80)/6)) *
_xlfn.IFS(AI$24-$I80 &lt;=1, 5/6, AI$24-$I80 &lt;=5, (7-(AI$24-$I80))/6, AND(AI$24-$I80 =6,NOT(_xlfn.IFNA(ISNUMBER(SEARCH("Rending",$L80)),FALSE))), (7-(AI$24-$I80))/6, AND(AI$24-$I80 &gt;=7,NOT(_xlfn.IFNA(ISNUMBER(SEARCH("Rending",$L80)),FALSE))), 0, AI$24-$I80 =7, (7-(AI$24-1-$I80))/6, AI$24-$I80 =8, (7-(AI$24-2-$I80))/6*2/3, AI$24-$I80 =9, (7-(AI$24-3-$I80))/6*1/3, TRUE, 0) *
IF(ISNUMBER(SEARCH("Ordinance",$L80)),7/6,1) *
IF(OR(ISNUMBER(SEARCH("Melee",$L80)),ISNUMBER(SEARCH("Bypass",$L80))),1.5,1)</f>
        <v>1.3888888888888891</v>
      </c>
      <c r="AJ80" s="17" cm="1">
        <f t="array" ref="AJ80">$H80 *
IF(ISNUMBER(SEARCH("Rapid",$L80)),7/6,1) *
IF(OR(ISNUMBER(SEARCH("Beam",$L80)),ISNUMBER(SEARCH("Firestorm",$L80))),1, IF(ISNUMBER(SEARCH("Blast",$L80)),(4+$G80+(2-$G80)*0.5)/6*2,(4+$G80)/6)) *
_xlfn.IFS(AJ$24-$I80 &lt;=1, 5/6, AJ$24-$I80 &lt;=5, (7-(AJ$24-$I80))/6, AND(AJ$24-$I80 =6,NOT(_xlfn.IFNA(ISNUMBER(SEARCH("Rending",$L80)),FALSE))), (7-(AJ$24-$I80))/6, AND(AJ$24-$I80 &gt;=7,NOT(_xlfn.IFNA(ISNUMBER(SEARCH("Rending",$L80)),FALSE))), 0, AJ$24-$I80 =7, (7-(AJ$24-1-$I80))/6, AJ$24-$I80 =8, (7-(AJ$24-2-$I80))/6*2/3, AJ$24-$I80 =9, (7-(AJ$24-3-$I80))/6*1/3, TRUE, 0) *
IF(ISNUMBER(SEARCH("Ordinance",$L80)),7/6,1) *
IF(OR(ISNUMBER(SEARCH("Melee",$L80)),ISNUMBER(SEARCH("Bypass",$L80))),1.5,1)</f>
        <v>1.3888888888888891</v>
      </c>
      <c r="AK80" s="17" cm="1">
        <f t="array" ref="AK80">$H80 *
IF(ISNUMBER(SEARCH("Rapid",$L80)),7/6,1) *
IF(OR(ISNUMBER(SEARCH("Beam",$L80)),ISNUMBER(SEARCH("Firestorm",$L80))),1, IF(ISNUMBER(SEARCH("Blast",$L80)),(4+$G80+(2-$G80)*0.5)/6*2,(4+$G80)/6)) *
_xlfn.IFS(AK$24-$I80 &lt;=1, 5/6, AK$24-$I80 &lt;=5, (7-(AK$24-$I80))/6, AND(AK$24-$I80 =6,NOT(_xlfn.IFNA(ISNUMBER(SEARCH("Rending",$L80)),FALSE))), (7-(AK$24-$I80))/6, AND(AK$24-$I80 &gt;=7,NOT(_xlfn.IFNA(ISNUMBER(SEARCH("Rending",$L80)),FALSE))), 0, AK$24-$I80 =7, (7-(AK$24-1-$I80))/6, AK$24-$I80 =8, (7-(AK$24-2-$I80))/6*2/3, AK$24-$I80 =9, (7-(AK$24-3-$I80))/6*1/3, TRUE, 0) *
IF(ISNUMBER(SEARCH("Ordinance",$L80)),7/6,1) *
IF(OR(ISNUMBER(SEARCH("Melee",$L80)),ISNUMBER(SEARCH("Bypass",$L80))),1.5,1)</f>
        <v>1.3888888888888891</v>
      </c>
      <c r="AL80" s="17" cm="1">
        <f t="array" ref="AL80">$H80 *
IF(ISNUMBER(SEARCH("Rapid",$L80)),7/6,1) *
IF(OR(ISNUMBER(SEARCH("Beam",$L80)),ISNUMBER(SEARCH("Firestorm",$L80))),1, IF(ISNUMBER(SEARCH("Blast",$L80)),(4+$G80+(2-$G80)*0.5)/6*2,(4+$G80)/6)) *
_xlfn.IFS(AL$24-$I80 &lt;=1, 5/6, AL$24-$I80 &lt;=5, (7-(AL$24-$I80))/6, AND(AL$24-$I80 =6,NOT(_xlfn.IFNA(ISNUMBER(SEARCH("Rending",$L80)),FALSE))), (7-(AL$24-$I80))/6, AND(AL$24-$I80 &gt;=7,NOT(_xlfn.IFNA(ISNUMBER(SEARCH("Rending",$L80)),FALSE))), 0, AL$24-$I80 =7, (7-(AL$24-1-$I80))/6, AL$24-$I80 =8, (7-(AL$24-2-$I80))/6*2/3, AL$24-$I80 =9, (7-(AL$24-3-$I80))/6*1/3, TRUE, 0) *
IF(ISNUMBER(SEARCH("Ordinance",$L80)),7/6,1) *
IF(OR(ISNUMBER(SEARCH("Melee",$L80)),ISNUMBER(SEARCH("Bypass",$L80))),1.5,1)</f>
        <v>1.3888888888888891</v>
      </c>
      <c r="AM80" s="17" cm="1">
        <f t="array" ref="AM80">$H80 *
IF(ISNUMBER(SEARCH("Rapid",$L80)),7/6,1) *
IF(OR(ISNUMBER(SEARCH("Beam",$L80)),ISNUMBER(SEARCH("Firestorm",$L80))),1, IF(ISNUMBER(SEARCH("Blast",$L80)),(4+$G80+(2-$G80)*0.5)/6*2,(4+$G80)/6)) *
_xlfn.IFS(AM$24-$I80 &lt;=1, 5/6, AM$24-$I80 &lt;=5, (7-(AM$24-$I80))/6, AND(AM$24-$I80 =6,NOT(_xlfn.IFNA(ISNUMBER(SEARCH("Rending",$L80)),FALSE))), (7-(AM$24-$I80))/6, AND(AM$24-$I80 &gt;=7,NOT(_xlfn.IFNA(ISNUMBER(SEARCH("Rending",$L80)),FALSE))), 0, AM$24-$I80 =7, (7-(AM$24-1-$I80))/6, AM$24-$I80 =8, (7-(AM$24-2-$I80))/6*2/3, AM$24-$I80 =9, (7-(AM$24-3-$I80))/6*1/3, TRUE, 0) *
IF(ISNUMBER(SEARCH("Ordinance",$L80)),7/6,1) *
IF(OR(ISNUMBER(SEARCH("Melee",$L80)),ISNUMBER(SEARCH("Bypass",$L80))),1.5,1)</f>
        <v>1.3888888888888891</v>
      </c>
      <c r="AN80" s="17" cm="1">
        <f t="array" ref="AN80">$H80 *
IF(ISNUMBER(SEARCH("Rapid",$L80)),7/6,1) *
IF(OR(ISNUMBER(SEARCH("Beam",$L80)),ISNUMBER(SEARCH("Firestorm",$L80))),1, IF(ISNUMBER(SEARCH("Blast",$L80)),(4+$G80+(2-$G80)*0.5)/6*2,(4+$G80)/6)) *
_xlfn.IFS(AN$24-$I80 &lt;=1, 5/6, AN$24-$I80 &lt;=5, (7-(AN$24-$I80))/6, AND(AN$24-$I80 =6,NOT(_xlfn.IFNA(ISNUMBER(SEARCH("Rending",$L80)),FALSE))), (7-(AN$24-$I80))/6, AND(AN$24-$I80 &gt;=7,NOT(_xlfn.IFNA(ISNUMBER(SEARCH("Rending",$L80)),FALSE))), 0, AN$24-$I80 =7, (7-(AN$24-1-$I80))/6, AN$24-$I80 =8, (7-(AN$24-2-$I80))/6*2/3, AN$24-$I80 =9, (7-(AN$24-3-$I80))/6*1/3, TRUE, 0) *
IF(ISNUMBER(SEARCH("Ordinance",$L80)),7/6,1) *
IF(OR(ISNUMBER(SEARCH("Melee",$L80)),ISNUMBER(SEARCH("Bypass",$L80))),1.5,1)</f>
        <v>1.3888888888888891</v>
      </c>
      <c r="AO80" s="17" cm="1">
        <f t="array" ref="AO80">$H80 *
IF(ISNUMBER(SEARCH("Rapid",$L80)),7/6,1) *
IF(OR(ISNUMBER(SEARCH("Beam",$L80)),ISNUMBER(SEARCH("Firestorm",$L80))),1, IF(ISNUMBER(SEARCH("Blast",$L80)),(4+$G80+(2-$G80)*0.5)/6*2,(4+$G80)/6)) *
_xlfn.IFS(AO$24-$I80 &lt;=1, 5/6, AO$24-$I80 &lt;=5, (7-(AO$24-$I80))/6, AND(AO$24-$I80 =6,NOT(_xlfn.IFNA(ISNUMBER(SEARCH("Rending",$L80)),FALSE))), (7-(AO$24-$I80))/6, AND(AO$24-$I80 &gt;=7,NOT(_xlfn.IFNA(ISNUMBER(SEARCH("Rending",$L80)),FALSE))), 0, AO$24-$I80 =7, (7-(AO$24-1-$I80))/6, AO$24-$I80 =8, (7-(AO$24-2-$I80))/6*2/3, AO$24-$I80 =9, (7-(AO$24-3-$I80))/6*1/3, TRUE, 0) *
IF(ISNUMBER(SEARCH("Ordinance",$L80)),7/6,1) *
IF(OR(ISNUMBER(SEARCH("Melee",$L80)),ISNUMBER(SEARCH("Bypass",$L80))),1.5,1)</f>
        <v>1.1111111111111112</v>
      </c>
      <c r="AP80" s="17" cm="1">
        <f t="array" ref="AP80">$H80 *
IF(ISNUMBER(SEARCH("Rapid",$L80)),7/6,1) *
IF(OR(ISNUMBER(SEARCH("Beam",$L80)),ISNUMBER(SEARCH("Firestorm",$L80))),1, IF(ISNUMBER(SEARCH("Blast",$L80)),(4+$G80+(2-$G80)*0.5)/6*2,(4+$G80)/6)) *
_xlfn.IFS(AP$24-$I80 &lt;=1, 5/6, AP$24-$I80 &lt;=5, (7-(AP$24-$I80))/6, AND(AP$24-$I80 =6,NOT(_xlfn.IFNA(ISNUMBER(SEARCH("Rending",$L80)),FALSE))), (7-(AP$24-$I80))/6, AND(AP$24-$I80 &gt;=7,NOT(_xlfn.IFNA(ISNUMBER(SEARCH("Rending",$L80)),FALSE))), 0, AP$24-$I80 =7, (7-(AP$24-1-$I80))/6, AP$24-$I80 =8, (7-(AP$24-2-$I80))/6*2/3, AP$24-$I80 =9, (7-(AP$24-3-$I80))/6*1/3, TRUE, 0) *
IF(ISNUMBER(SEARCH("Ordinance",$L80)),7/6,1) *
IF(OR(ISNUMBER(SEARCH("Melee",$L80)),ISNUMBER(SEARCH("Bypass",$L80))),1.5,1)</f>
        <v>0.83333333333333337</v>
      </c>
      <c r="AQ80" s="17" cm="1">
        <f t="array" ref="AQ80">$H80 *
IF(ISNUMBER(SEARCH("Rapid",$L80)),7/6,1) *
IF(OR(ISNUMBER(SEARCH("Beam",$L80)),ISNUMBER(SEARCH("Firestorm",$L80))),1, IF(ISNUMBER(SEARCH("Blast",$L80)),(4+$G80+(2-$G80)*0.5)/6*2,(4+$G80)/6)) *
_xlfn.IFS(AQ$24-$I80 &lt;=1, 5/6, AQ$24-$I80 &lt;=5, (7-(AQ$24-$I80))/6, AND(AQ$24-$I80 =6,NOT(_xlfn.IFNA(ISNUMBER(SEARCH("Rending",$L80)),FALSE))), (7-(AQ$24-$I80))/6, AND(AQ$24-$I80 &gt;=7,NOT(_xlfn.IFNA(ISNUMBER(SEARCH("Rending",$L80)),FALSE))), 0, AQ$24-$I80 =7, (7-(AQ$24-1-$I80))/6, AQ$24-$I80 =8, (7-(AQ$24-2-$I80))/6*2/3, AQ$24-$I80 =9, (7-(AQ$24-3-$I80))/6*1/3, TRUE, 0) *
IF(ISNUMBER(SEARCH("Ordinance",$L80)),7/6,1) *
IF(OR(ISNUMBER(SEARCH("Melee",$L80)),ISNUMBER(SEARCH("Bypass",$L80))),1.5,1)</f>
        <v>0.55555555555555558</v>
      </c>
      <c r="AS80" s="16">
        <f t="shared" ref="AS80:AT83" si="25">IF($E80=1,AG80*3,IF($E80=2,2*AG80,1.1*AG80))/3</f>
        <v>0.37037037037037041</v>
      </c>
      <c r="AT80" s="16">
        <f t="shared" si="25"/>
        <v>0.55555555555555558</v>
      </c>
      <c r="AU80" s="16">
        <f>IF(D80+E80=3,
 IF(E80=3, 2.5*AI80,
  IF(E80=2, 1.8*AI80+0.7*X80,
   IF(E80=1, 0.95*AI80+1.55*X80,
    2.5*X80))),
 IF(D80+E80=2,
  IF(E80=2, 1.55*AI80,
   IF(E80 =1, 0.85*AI80+0.7*X80,
    1.55*X80)),
  IF(E80=1, 0.95*AI80,
   0.7*X80))
)/3</f>
        <v>1.1574074074074077</v>
      </c>
      <c r="AV80" s="2">
        <v>14</v>
      </c>
    </row>
    <row r="81" spans="1:48" x14ac:dyDescent="0.3">
      <c r="A81" t="s">
        <v>230</v>
      </c>
      <c r="B81" s="3">
        <v>30</v>
      </c>
      <c r="C81" s="3">
        <v>60</v>
      </c>
      <c r="D81" s="3">
        <v>1</v>
      </c>
      <c r="E81" s="3">
        <v>2</v>
      </c>
      <c r="F81" s="10">
        <v>0</v>
      </c>
      <c r="G81" s="10">
        <v>0</v>
      </c>
      <c r="H81" s="3">
        <v>1</v>
      </c>
      <c r="I81" s="3">
        <v>12</v>
      </c>
      <c r="J81" s="3" t="s">
        <v>233</v>
      </c>
      <c r="K81" s="3">
        <v>80</v>
      </c>
      <c r="L81" s="3" t="s">
        <v>234</v>
      </c>
      <c r="M81" s="3" t="s">
        <v>199</v>
      </c>
      <c r="N81" s="3">
        <v>11</v>
      </c>
      <c r="O81" s="3">
        <v>11</v>
      </c>
      <c r="P81" s="3">
        <v>15</v>
      </c>
      <c r="Q81" s="3" t="s">
        <v>200</v>
      </c>
      <c r="R81" s="3">
        <v>7</v>
      </c>
      <c r="S81" s="3">
        <v>9</v>
      </c>
      <c r="T81" s="3">
        <v>5</v>
      </c>
      <c r="V81" s="16">
        <f t="shared" si="20"/>
        <v>0.55555555555555558</v>
      </c>
      <c r="W81" s="16">
        <f t="shared" si="21"/>
        <v>0.83333333333333337</v>
      </c>
      <c r="X81" s="17" cm="1">
        <f t="array" ref="X81">$H81 *
IF(ISNUMBER(SEARCH("Rapid",$L81)),7/6,1) *
IF(OR(ISNUMBER(SEARCH("Beam",$L81)),ISNUMBER(SEARCH("Firestorm",$L81))),1, IF(ISNUMBER(SEARCH("Blast",$L81)),(4+$F81+(2-$F81)*0.5)/6*2,(4+$F81)/6)) *
IF(ISNUMBER(SEARCH("Fusion",$L81)), _xlfn.IFS(X$24-$I81 &lt;=1, 9/10, X$24-$I81 &lt;=10,(11-(X$24-$I81))/10, X$24-$I81 &gt;=11, 0),
_xlfn.IFS(X$24-$I81 &lt;=1, 5/6, X$24-$I81 &lt;=5, (7-(X$24-$I81))/6, AND(X$24-$I81 =6,NOT(_xlfn.IFNA(ISNUMBER(SEARCH("Rending",$L81)),FALSE))), (7-(X$24-$I81))/6, AND(X$24-$I81 &gt;=7,NOT(_xlfn.IFNA(ISNUMBER(SEARCH("Rending",$L81)),FALSE))), 0, X$24-$I81 =7, (7-(X$24-1-$I81))/6, X$24-$I81 =8, (7-(X$24-2-$I81))/6*2/3, X$24-$I81 =9, (7-(X$24-3-$I81))/6*1/3, TRUE, 0)) *
IF(ISNUMBER(SEARCH("Ordinance",$L81)),7/6,1) *
IF(OR(ISNUMBER(SEARCH("Melee",$L81)),ISNUMBER(SEARCH("Bypass",$L81))),1.5,1)</f>
        <v>1.3888888888888891</v>
      </c>
      <c r="Y81" s="17" cm="1">
        <f t="array" ref="Y81">$H81 *
IF(ISNUMBER(SEARCH("Rapid",$L81)),7/6,1) *
IF(OR(ISNUMBER(SEARCH("Beam",$L81)),ISNUMBER(SEARCH("Firestorm",$L81))),1, IF(ISNUMBER(SEARCH("Blast",$L81)),(4+$F81+(2-$F81)*0.5)/6*2,(4+$F81)/6)) *
IF(ISNUMBER(SEARCH("Fusion",$L81)), _xlfn.IFS(Y$24-$I81 &lt;=1, 9/10, Y$24-$I81 &lt;=10,(11-(Y$24-$I81))/10, Y$24-$I81 &gt;=11, 0),
_xlfn.IFS(Y$24-$I81 &lt;=1, 5/6, Y$24-$I81 &lt;=5, (7-(Y$24-$I81))/6, AND(Y$24-$I81 =6,NOT(_xlfn.IFNA(ISNUMBER(SEARCH("Rending",$L81)),FALSE))), (7-(Y$24-$I81))/6, AND(Y$24-$I81 &gt;=7,NOT(_xlfn.IFNA(ISNUMBER(SEARCH("Rending",$L81)),FALSE))), 0, Y$24-$I81 =7, (7-(Y$24-1-$I81))/6, Y$24-$I81 =8, (7-(Y$24-2-$I81))/6*2/3, Y$24-$I81 =9, (7-(Y$24-3-$I81))/6*1/3, TRUE, 0)) *
IF(ISNUMBER(SEARCH("Ordinance",$L81)),7/6,1) *
IF(OR(ISNUMBER(SEARCH("Melee",$L81)),ISNUMBER(SEARCH("Bypass",$L81))),1.5,1)</f>
        <v>1.3888888888888891</v>
      </c>
      <c r="Z81" s="17" cm="1">
        <f t="array" ref="Z81">$H81 *
IF(ISNUMBER(SEARCH("Rapid",$L81)),7/6,1) *
IF(OR(ISNUMBER(SEARCH("Beam",$L81)),ISNUMBER(SEARCH("Firestorm",$L81))),1, IF(ISNUMBER(SEARCH("Blast",$L81)),(4+$F81+(2-$F81)*0.5)/6*2,(4+$F81)/6)) *
IF(ISNUMBER(SEARCH("Fusion",$L81)), _xlfn.IFS(Z$24-$I81 &lt;=1, 9/10, Z$24-$I81 &lt;=10,(11-(Z$24-$I81))/10, Z$24-$I81 &gt;=11, 0),
_xlfn.IFS(Z$24-$I81 &lt;=1, 5/6, Z$24-$I81 &lt;=5, (7-(Z$24-$I81))/6, AND(Z$24-$I81 =6,NOT(_xlfn.IFNA(ISNUMBER(SEARCH("Rending",$L81)),FALSE))), (7-(Z$24-$I81))/6, AND(Z$24-$I81 &gt;=7,NOT(_xlfn.IFNA(ISNUMBER(SEARCH("Rending",$L81)),FALSE))), 0, Z$24-$I81 =7, (7-(Z$24-1-$I81))/6, Z$24-$I81 =8, (7-(Z$24-2-$I81))/6*2/3, Z$24-$I81 =9, (7-(Z$24-3-$I81))/6*1/3, TRUE, 0)) *
IF(ISNUMBER(SEARCH("Ordinance",$L81)),7/6,1) *
IF(OR(ISNUMBER(SEARCH("Melee",$L81)),ISNUMBER(SEARCH("Bypass",$L81))),1.5,1)</f>
        <v>1.3888888888888891</v>
      </c>
      <c r="AA81" s="17" cm="1">
        <f t="array" ref="AA81">$H81 *
IF(ISNUMBER(SEARCH("Rapid",$L81)),7/6,1) *
IF(OR(ISNUMBER(SEARCH("Beam",$L81)),ISNUMBER(SEARCH("Firestorm",$L81))),1, IF(ISNUMBER(SEARCH("Blast",$L81)),(4+$F81+(2-$F81)*0.5)/6*2,(4+$F81)/6)) *
IF(ISNUMBER(SEARCH("Fusion",$L81)), _xlfn.IFS(AA$24-$I81 &lt;=1, 9/10, AA$24-$I81 &lt;=10,(11-(AA$24-$I81))/10, AA$24-$I81 &gt;=11, 0),
_xlfn.IFS(AA$24-$I81 &lt;=1, 5/6, AA$24-$I81 &lt;=5, (7-(AA$24-$I81))/6, AND(AA$24-$I81 =6,NOT(_xlfn.IFNA(ISNUMBER(SEARCH("Rending",$L81)),FALSE))), (7-(AA$24-$I81))/6, AND(AA$24-$I81 &gt;=7,NOT(_xlfn.IFNA(ISNUMBER(SEARCH("Rending",$L81)),FALSE))), 0, AA$24-$I81 =7, (7-(AA$24-1-$I81))/6, AA$24-$I81 =8, (7-(AA$24-2-$I81))/6*2/3, AA$24-$I81 =9, (7-(AA$24-3-$I81))/6*1/3, TRUE, 0)) *
IF(ISNUMBER(SEARCH("Ordinance",$L81)),7/6,1) *
IF(OR(ISNUMBER(SEARCH("Melee",$L81)),ISNUMBER(SEARCH("Bypass",$L81))),1.5,1)</f>
        <v>1.3888888888888891</v>
      </c>
      <c r="AB81" s="17" cm="1">
        <f t="array" ref="AB81">$H81 *
IF(ISNUMBER(SEARCH("Rapid",$L81)),7/6,1) *
IF(OR(ISNUMBER(SEARCH("Beam",$L81)),ISNUMBER(SEARCH("Firestorm",$L81))),1, IF(ISNUMBER(SEARCH("Blast",$L81)),(4+$F81+(2-$F81)*0.5)/6*2,(4+$F81)/6)) *
IF(ISNUMBER(SEARCH("Fusion",$L81)), _xlfn.IFS(AB$24-$I81 &lt;=1, 9/10, AB$24-$I81 &lt;=10,(11-(AB$24-$I81))/10, AB$24-$I81 &gt;=11, 0),
_xlfn.IFS(AB$24-$I81 &lt;=1, 5/6, AB$24-$I81 &lt;=5, (7-(AB$24-$I81))/6, AND(AB$24-$I81 =6,NOT(_xlfn.IFNA(ISNUMBER(SEARCH("Rending",$L81)),FALSE))), (7-(AB$24-$I81))/6, AND(AB$24-$I81 &gt;=7,NOT(_xlfn.IFNA(ISNUMBER(SEARCH("Rending",$L81)),FALSE))), 0, AB$24-$I81 =7, (7-(AB$24-1-$I81))/6, AB$24-$I81 =8, (7-(AB$24-2-$I81))/6*2/3, AB$24-$I81 =9, (7-(AB$24-3-$I81))/6*1/3, TRUE, 0)) *
IF(ISNUMBER(SEARCH("Ordinance",$L81)),7/6,1) *
IF(OR(ISNUMBER(SEARCH("Melee",$L81)),ISNUMBER(SEARCH("Bypass",$L81))),1.5,1)</f>
        <v>1.3888888888888891</v>
      </c>
      <c r="AC81" s="17" cm="1">
        <f t="array" ref="AC81">$H81 *
IF(ISNUMBER(SEARCH("Rapid",$L81)),7/6,1) *
IF(OR(ISNUMBER(SEARCH("Beam",$L81)),ISNUMBER(SEARCH("Firestorm",$L81))),1, IF(ISNUMBER(SEARCH("Blast",$L81)),(4+$F81+(2-$F81)*0.5)/6*2,(4+$F81)/6)) *
IF(ISNUMBER(SEARCH("Fusion",$L81)), _xlfn.IFS(AC$24-$I81 &lt;=1, 9/10, AC$24-$I81 &lt;=10,(11-(AC$24-$I81))/10, AC$24-$I81 &gt;=11, 0),
_xlfn.IFS(AC$24-$I81 &lt;=1, 5/6, AC$24-$I81 &lt;=5, (7-(AC$24-$I81))/6, AND(AC$24-$I81 =6,NOT(_xlfn.IFNA(ISNUMBER(SEARCH("Rending",$L81)),FALSE))), (7-(AC$24-$I81))/6, AND(AC$24-$I81 &gt;=7,NOT(_xlfn.IFNA(ISNUMBER(SEARCH("Rending",$L81)),FALSE))), 0, AC$24-$I81 =7, (7-(AC$24-1-$I81))/6, AC$24-$I81 =8, (7-(AC$24-2-$I81))/6*2/3, AC$24-$I81 =9, (7-(AC$24-3-$I81))/6*1/3, TRUE, 0)) *
IF(ISNUMBER(SEARCH("Ordinance",$L81)),7/6,1) *
IF(OR(ISNUMBER(SEARCH("Melee",$L81)),ISNUMBER(SEARCH("Bypass",$L81))),1.5,1)</f>
        <v>1.3888888888888891</v>
      </c>
      <c r="AD81" s="17" cm="1">
        <f t="array" ref="AD81">$H81 *
IF(ISNUMBER(SEARCH("Rapid",$L81)),7/6,1) *
IF(OR(ISNUMBER(SEARCH("Beam",$L81)),ISNUMBER(SEARCH("Firestorm",$L81))),1, IF(ISNUMBER(SEARCH("Blast",$L81)),(4+$F81+(2-$F81)*0.5)/6*2,(4+$F81)/6)) *
IF(ISNUMBER(SEARCH("Fusion",$L81)), _xlfn.IFS(AD$24-$I81 &lt;=1, 9/10, AD$24-$I81 &lt;=10,(11-(AD$24-$I81))/10, AD$24-$I81 &gt;=11, 0),
_xlfn.IFS(AD$24-$I81 &lt;=1, 5/6, AD$24-$I81 &lt;=5, (7-(AD$24-$I81))/6, AND(AD$24-$I81 =6,NOT(_xlfn.IFNA(ISNUMBER(SEARCH("Rending",$L81)),FALSE))), (7-(AD$24-$I81))/6, AND(AD$24-$I81 &gt;=7,NOT(_xlfn.IFNA(ISNUMBER(SEARCH("Rending",$L81)),FALSE))), 0, AD$24-$I81 =7, (7-(AD$24-1-$I81))/6, AD$24-$I81 =8, (7-(AD$24-2-$I81))/6*2/3, AD$24-$I81 =9, (7-(AD$24-3-$I81))/6*1/3, TRUE, 0)) *
IF(ISNUMBER(SEARCH("Ordinance",$L81)),7/6,1) *
IF(OR(ISNUMBER(SEARCH("Melee",$L81)),ISNUMBER(SEARCH("Bypass",$L81))),1.5,1)</f>
        <v>1.1111111111111112</v>
      </c>
      <c r="AE81" s="17" cm="1">
        <f t="array" ref="AE81">$H81 *
IF(ISNUMBER(SEARCH("Rapid",$L81)),7/6,1) *
IF(OR(ISNUMBER(SEARCH("Beam",$L81)),ISNUMBER(SEARCH("Firestorm",$L81))),1, IF(ISNUMBER(SEARCH("Blast",$L81)),(4+$F81+(2-$F81)*0.5)/6*2,(4+$F81)/6)) *
IF(ISNUMBER(SEARCH("Fusion",$L81)), _xlfn.IFS(AE$24-$I81 &lt;=1, 9/10, AE$24-$I81 &lt;=10,(11-(AE$24-$I81))/10, AE$24-$I81 &gt;=11, 0),
_xlfn.IFS(AE$24-$I81 &lt;=1, 5/6, AE$24-$I81 &lt;=5, (7-(AE$24-$I81))/6, AND(AE$24-$I81 =6,NOT(_xlfn.IFNA(ISNUMBER(SEARCH("Rending",$L81)),FALSE))), (7-(AE$24-$I81))/6, AND(AE$24-$I81 &gt;=7,NOT(_xlfn.IFNA(ISNUMBER(SEARCH("Rending",$L81)),FALSE))), 0, AE$24-$I81 =7, (7-(AE$24-1-$I81))/6, AE$24-$I81 =8, (7-(AE$24-2-$I81))/6*2/3, AE$24-$I81 =9, (7-(AE$24-3-$I81))/6*1/3, TRUE, 0)) *
IF(ISNUMBER(SEARCH("Ordinance",$L81)),7/6,1) *
IF(OR(ISNUMBER(SEARCH("Melee",$L81)),ISNUMBER(SEARCH("Bypass",$L81))),1.5,1)</f>
        <v>0.83333333333333337</v>
      </c>
      <c r="AF81" s="17" cm="1">
        <f t="array" ref="AF81">$H81 *
IF(ISNUMBER(SEARCH("Rapid",$L81)),7/6,1) *
IF(OR(ISNUMBER(SEARCH("Beam",$L81)),ISNUMBER(SEARCH("Firestorm",$L81))),1, IF(ISNUMBER(SEARCH("Blast",$L81)),(4+$F81+(2-$F81)*0.5)/6*2,(4+$F81)/6)) *
IF(ISNUMBER(SEARCH("Fusion",$L81)), _xlfn.IFS(AF$24-$I81 &lt;=1, 9/10, AF$24-$I81 &lt;=10,(11-(AF$24-$I81))/10, AF$24-$I81 &gt;=11, 0),
_xlfn.IFS(AF$24-$I81 &lt;=1, 5/6, AF$24-$I81 &lt;=5, (7-(AF$24-$I81))/6, AND(AF$24-$I81 =6,NOT(_xlfn.IFNA(ISNUMBER(SEARCH("Rending",$L81)),FALSE))), (7-(AF$24-$I81))/6, AND(AF$24-$I81 &gt;=7,NOT(_xlfn.IFNA(ISNUMBER(SEARCH("Rending",$L81)),FALSE))), 0, AF$24-$I81 =7, (7-(AF$24-1-$I81))/6, AF$24-$I81 =8, (7-(AF$24-2-$I81))/6*2/3, AF$24-$I81 =9, (7-(AF$24-3-$I81))/6*1/3, TRUE, 0)) *
IF(ISNUMBER(SEARCH("Ordinance",$L81)),7/6,1) *
IF(OR(ISNUMBER(SEARCH("Melee",$L81)),ISNUMBER(SEARCH("Bypass",$L81))),1.5,1)</f>
        <v>0.55555555555555558</v>
      </c>
      <c r="AG81" s="16">
        <f t="shared" si="22"/>
        <v>0.55555555555555558</v>
      </c>
      <c r="AH81" s="16">
        <f t="shared" si="23"/>
        <v>0.83333333333333337</v>
      </c>
      <c r="AI81" s="17" cm="1">
        <f t="array" ref="AI81">$H81 *
IF(ISNUMBER(SEARCH("Rapid",$L81)),7/6,1) *
IF(OR(ISNUMBER(SEARCH("Beam",$L81)),ISNUMBER(SEARCH("Firestorm",$L81))),1, IF(ISNUMBER(SEARCH("Blast",$L81)),(4+$G81+(2-$G81)*0.5)/6*2,(4+$G81)/6)) *
_xlfn.IFS(AI$24-$I81 &lt;=1, 5/6, AI$24-$I81 &lt;=5, (7-(AI$24-$I81))/6, AND(AI$24-$I81 =6,NOT(_xlfn.IFNA(ISNUMBER(SEARCH("Rending",$L81)),FALSE))), (7-(AI$24-$I81))/6, AND(AI$24-$I81 &gt;=7,NOT(_xlfn.IFNA(ISNUMBER(SEARCH("Rending",$L81)),FALSE))), 0, AI$24-$I81 =7, (7-(AI$24-1-$I81))/6, AI$24-$I81 =8, (7-(AI$24-2-$I81))/6*2/3, AI$24-$I81 =9, (7-(AI$24-3-$I81))/6*1/3, TRUE, 0) *
IF(ISNUMBER(SEARCH("Ordinance",$L81)),7/6,1) *
IF(OR(ISNUMBER(SEARCH("Melee",$L81)),ISNUMBER(SEARCH("Bypass",$L81))),1.5,1)</f>
        <v>1.3888888888888891</v>
      </c>
      <c r="AJ81" s="17" cm="1">
        <f t="array" ref="AJ81">$H81 *
IF(ISNUMBER(SEARCH("Rapid",$L81)),7/6,1) *
IF(OR(ISNUMBER(SEARCH("Beam",$L81)),ISNUMBER(SEARCH("Firestorm",$L81))),1, IF(ISNUMBER(SEARCH("Blast",$L81)),(4+$G81+(2-$G81)*0.5)/6*2,(4+$G81)/6)) *
_xlfn.IFS(AJ$24-$I81 &lt;=1, 5/6, AJ$24-$I81 &lt;=5, (7-(AJ$24-$I81))/6, AND(AJ$24-$I81 =6,NOT(_xlfn.IFNA(ISNUMBER(SEARCH("Rending",$L81)),FALSE))), (7-(AJ$24-$I81))/6, AND(AJ$24-$I81 &gt;=7,NOT(_xlfn.IFNA(ISNUMBER(SEARCH("Rending",$L81)),FALSE))), 0, AJ$24-$I81 =7, (7-(AJ$24-1-$I81))/6, AJ$24-$I81 =8, (7-(AJ$24-2-$I81))/6*2/3, AJ$24-$I81 =9, (7-(AJ$24-3-$I81))/6*1/3, TRUE, 0) *
IF(ISNUMBER(SEARCH("Ordinance",$L81)),7/6,1) *
IF(OR(ISNUMBER(SEARCH("Melee",$L81)),ISNUMBER(SEARCH("Bypass",$L81))),1.5,1)</f>
        <v>1.3888888888888891</v>
      </c>
      <c r="AK81" s="17" cm="1">
        <f t="array" ref="AK81">$H81 *
IF(ISNUMBER(SEARCH("Rapid",$L81)),7/6,1) *
IF(OR(ISNUMBER(SEARCH("Beam",$L81)),ISNUMBER(SEARCH("Firestorm",$L81))),1, IF(ISNUMBER(SEARCH("Blast",$L81)),(4+$G81+(2-$G81)*0.5)/6*2,(4+$G81)/6)) *
_xlfn.IFS(AK$24-$I81 &lt;=1, 5/6, AK$24-$I81 &lt;=5, (7-(AK$24-$I81))/6, AND(AK$24-$I81 =6,NOT(_xlfn.IFNA(ISNUMBER(SEARCH("Rending",$L81)),FALSE))), (7-(AK$24-$I81))/6, AND(AK$24-$I81 &gt;=7,NOT(_xlfn.IFNA(ISNUMBER(SEARCH("Rending",$L81)),FALSE))), 0, AK$24-$I81 =7, (7-(AK$24-1-$I81))/6, AK$24-$I81 =8, (7-(AK$24-2-$I81))/6*2/3, AK$24-$I81 =9, (7-(AK$24-3-$I81))/6*1/3, TRUE, 0) *
IF(ISNUMBER(SEARCH("Ordinance",$L81)),7/6,1) *
IF(OR(ISNUMBER(SEARCH("Melee",$L81)),ISNUMBER(SEARCH("Bypass",$L81))),1.5,1)</f>
        <v>1.3888888888888891</v>
      </c>
      <c r="AL81" s="17" cm="1">
        <f t="array" ref="AL81">$H81 *
IF(ISNUMBER(SEARCH("Rapid",$L81)),7/6,1) *
IF(OR(ISNUMBER(SEARCH("Beam",$L81)),ISNUMBER(SEARCH("Firestorm",$L81))),1, IF(ISNUMBER(SEARCH("Blast",$L81)),(4+$G81+(2-$G81)*0.5)/6*2,(4+$G81)/6)) *
_xlfn.IFS(AL$24-$I81 &lt;=1, 5/6, AL$24-$I81 &lt;=5, (7-(AL$24-$I81))/6, AND(AL$24-$I81 =6,NOT(_xlfn.IFNA(ISNUMBER(SEARCH("Rending",$L81)),FALSE))), (7-(AL$24-$I81))/6, AND(AL$24-$I81 &gt;=7,NOT(_xlfn.IFNA(ISNUMBER(SEARCH("Rending",$L81)),FALSE))), 0, AL$24-$I81 =7, (7-(AL$24-1-$I81))/6, AL$24-$I81 =8, (7-(AL$24-2-$I81))/6*2/3, AL$24-$I81 =9, (7-(AL$24-3-$I81))/6*1/3, TRUE, 0) *
IF(ISNUMBER(SEARCH("Ordinance",$L81)),7/6,1) *
IF(OR(ISNUMBER(SEARCH("Melee",$L81)),ISNUMBER(SEARCH("Bypass",$L81))),1.5,1)</f>
        <v>1.3888888888888891</v>
      </c>
      <c r="AM81" s="17" cm="1">
        <f t="array" ref="AM81">$H81 *
IF(ISNUMBER(SEARCH("Rapid",$L81)),7/6,1) *
IF(OR(ISNUMBER(SEARCH("Beam",$L81)),ISNUMBER(SEARCH("Firestorm",$L81))),1, IF(ISNUMBER(SEARCH("Blast",$L81)),(4+$G81+(2-$G81)*0.5)/6*2,(4+$G81)/6)) *
_xlfn.IFS(AM$24-$I81 &lt;=1, 5/6, AM$24-$I81 &lt;=5, (7-(AM$24-$I81))/6, AND(AM$24-$I81 =6,NOT(_xlfn.IFNA(ISNUMBER(SEARCH("Rending",$L81)),FALSE))), (7-(AM$24-$I81))/6, AND(AM$24-$I81 &gt;=7,NOT(_xlfn.IFNA(ISNUMBER(SEARCH("Rending",$L81)),FALSE))), 0, AM$24-$I81 =7, (7-(AM$24-1-$I81))/6, AM$24-$I81 =8, (7-(AM$24-2-$I81))/6*2/3, AM$24-$I81 =9, (7-(AM$24-3-$I81))/6*1/3, TRUE, 0) *
IF(ISNUMBER(SEARCH("Ordinance",$L81)),7/6,1) *
IF(OR(ISNUMBER(SEARCH("Melee",$L81)),ISNUMBER(SEARCH("Bypass",$L81))),1.5,1)</f>
        <v>1.3888888888888891</v>
      </c>
      <c r="AN81" s="17" cm="1">
        <f t="array" ref="AN81">$H81 *
IF(ISNUMBER(SEARCH("Rapid",$L81)),7/6,1) *
IF(OR(ISNUMBER(SEARCH("Beam",$L81)),ISNUMBER(SEARCH("Firestorm",$L81))),1, IF(ISNUMBER(SEARCH("Blast",$L81)),(4+$G81+(2-$G81)*0.5)/6*2,(4+$G81)/6)) *
_xlfn.IFS(AN$24-$I81 &lt;=1, 5/6, AN$24-$I81 &lt;=5, (7-(AN$24-$I81))/6, AND(AN$24-$I81 =6,NOT(_xlfn.IFNA(ISNUMBER(SEARCH("Rending",$L81)),FALSE))), (7-(AN$24-$I81))/6, AND(AN$24-$I81 &gt;=7,NOT(_xlfn.IFNA(ISNUMBER(SEARCH("Rending",$L81)),FALSE))), 0, AN$24-$I81 =7, (7-(AN$24-1-$I81))/6, AN$24-$I81 =8, (7-(AN$24-2-$I81))/6*2/3, AN$24-$I81 =9, (7-(AN$24-3-$I81))/6*1/3, TRUE, 0) *
IF(ISNUMBER(SEARCH("Ordinance",$L81)),7/6,1) *
IF(OR(ISNUMBER(SEARCH("Melee",$L81)),ISNUMBER(SEARCH("Bypass",$L81))),1.5,1)</f>
        <v>1.3888888888888891</v>
      </c>
      <c r="AO81" s="17" cm="1">
        <f t="array" ref="AO81">$H81 *
IF(ISNUMBER(SEARCH("Rapid",$L81)),7/6,1) *
IF(OR(ISNUMBER(SEARCH("Beam",$L81)),ISNUMBER(SEARCH("Firestorm",$L81))),1, IF(ISNUMBER(SEARCH("Blast",$L81)),(4+$G81+(2-$G81)*0.5)/6*2,(4+$G81)/6)) *
_xlfn.IFS(AO$24-$I81 &lt;=1, 5/6, AO$24-$I81 &lt;=5, (7-(AO$24-$I81))/6, AND(AO$24-$I81 =6,NOT(_xlfn.IFNA(ISNUMBER(SEARCH("Rending",$L81)),FALSE))), (7-(AO$24-$I81))/6, AND(AO$24-$I81 &gt;=7,NOT(_xlfn.IFNA(ISNUMBER(SEARCH("Rending",$L81)),FALSE))), 0, AO$24-$I81 =7, (7-(AO$24-1-$I81))/6, AO$24-$I81 =8, (7-(AO$24-2-$I81))/6*2/3, AO$24-$I81 =9, (7-(AO$24-3-$I81))/6*1/3, TRUE, 0) *
IF(ISNUMBER(SEARCH("Ordinance",$L81)),7/6,1) *
IF(OR(ISNUMBER(SEARCH("Melee",$L81)),ISNUMBER(SEARCH("Bypass",$L81))),1.5,1)</f>
        <v>1.1111111111111112</v>
      </c>
      <c r="AP81" s="17" cm="1">
        <f t="array" ref="AP81">$H81 *
IF(ISNUMBER(SEARCH("Rapid",$L81)),7/6,1) *
IF(OR(ISNUMBER(SEARCH("Beam",$L81)),ISNUMBER(SEARCH("Firestorm",$L81))),1, IF(ISNUMBER(SEARCH("Blast",$L81)),(4+$G81+(2-$G81)*0.5)/6*2,(4+$G81)/6)) *
_xlfn.IFS(AP$24-$I81 &lt;=1, 5/6, AP$24-$I81 &lt;=5, (7-(AP$24-$I81))/6, AND(AP$24-$I81 =6,NOT(_xlfn.IFNA(ISNUMBER(SEARCH("Rending",$L81)),FALSE))), (7-(AP$24-$I81))/6, AND(AP$24-$I81 &gt;=7,NOT(_xlfn.IFNA(ISNUMBER(SEARCH("Rending",$L81)),FALSE))), 0, AP$24-$I81 =7, (7-(AP$24-1-$I81))/6, AP$24-$I81 =8, (7-(AP$24-2-$I81))/6*2/3, AP$24-$I81 =9, (7-(AP$24-3-$I81))/6*1/3, TRUE, 0) *
IF(ISNUMBER(SEARCH("Ordinance",$L81)),7/6,1) *
IF(OR(ISNUMBER(SEARCH("Melee",$L81)),ISNUMBER(SEARCH("Bypass",$L81))),1.5,1)</f>
        <v>0.83333333333333337</v>
      </c>
      <c r="AQ81" s="17" cm="1">
        <f t="array" ref="AQ81">$H81 *
IF(ISNUMBER(SEARCH("Rapid",$L81)),7/6,1) *
IF(OR(ISNUMBER(SEARCH("Beam",$L81)),ISNUMBER(SEARCH("Firestorm",$L81))),1, IF(ISNUMBER(SEARCH("Blast",$L81)),(4+$G81+(2-$G81)*0.5)/6*2,(4+$G81)/6)) *
_xlfn.IFS(AQ$24-$I81 &lt;=1, 5/6, AQ$24-$I81 &lt;=5, (7-(AQ$24-$I81))/6, AND(AQ$24-$I81 =6,NOT(_xlfn.IFNA(ISNUMBER(SEARCH("Rending",$L81)),FALSE))), (7-(AQ$24-$I81))/6, AND(AQ$24-$I81 &gt;=7,NOT(_xlfn.IFNA(ISNUMBER(SEARCH("Rending",$L81)),FALSE))), 0, AQ$24-$I81 =7, (7-(AQ$24-1-$I81))/6, AQ$24-$I81 =8, (7-(AQ$24-2-$I81))/6*2/3, AQ$24-$I81 =9, (7-(AQ$24-3-$I81))/6*1/3, TRUE, 0) *
IF(ISNUMBER(SEARCH("Ordinance",$L81)),7/6,1) *
IF(OR(ISNUMBER(SEARCH("Melee",$L81)),ISNUMBER(SEARCH("Bypass",$L81))),1.5,1)</f>
        <v>0.55555555555555558</v>
      </c>
      <c r="AS81" s="16">
        <f t="shared" si="25"/>
        <v>0.37037037037037041</v>
      </c>
      <c r="AT81" s="16">
        <f t="shared" si="25"/>
        <v>0.55555555555555558</v>
      </c>
      <c r="AU81" s="16">
        <f>IF(D81+E81=3,
 IF(E81=3, 2.5*AI81,
  IF(E81=2, 1.8*AI81+0.7*X81,
   IF(E81=1, 0.95*AI81+1.55*X81,
    2.5*X81))),
 IF(D81+E81=2,
  IF(E81=2, 1.55*AI81,
   IF(E81 =1, 0.85*AI81+0.7*X81,
    1.55*X81)),
  IF(E81=1, 0.95*AI81,
   0.7*X81))
)/3</f>
        <v>1.1574074074074077</v>
      </c>
      <c r="AV81" s="2">
        <v>14</v>
      </c>
    </row>
    <row r="82" spans="1:48" x14ac:dyDescent="0.3">
      <c r="A82" t="s">
        <v>231</v>
      </c>
      <c r="B82" s="3">
        <v>24</v>
      </c>
      <c r="C82" s="3">
        <v>72</v>
      </c>
      <c r="D82" s="3">
        <v>1</v>
      </c>
      <c r="E82" s="3">
        <v>2</v>
      </c>
      <c r="F82" s="10">
        <v>-1</v>
      </c>
      <c r="G82" s="10">
        <v>0</v>
      </c>
      <c r="H82" s="3">
        <v>1</v>
      </c>
      <c r="I82" s="3">
        <v>9</v>
      </c>
      <c r="J82" s="3" t="s">
        <v>233</v>
      </c>
      <c r="K82" s="3">
        <v>20</v>
      </c>
      <c r="L82" s="3" t="s">
        <v>235</v>
      </c>
      <c r="M82" s="3" t="s">
        <v>236</v>
      </c>
      <c r="N82" s="3">
        <v>11</v>
      </c>
      <c r="O82" s="3">
        <v>11</v>
      </c>
      <c r="P82" s="3">
        <v>15</v>
      </c>
      <c r="Q82" s="3" t="s">
        <v>200</v>
      </c>
      <c r="R82" s="3">
        <v>7</v>
      </c>
      <c r="S82" s="3">
        <v>9</v>
      </c>
      <c r="T82" s="3">
        <v>3</v>
      </c>
      <c r="V82" s="16">
        <f t="shared" si="20"/>
        <v>0.5</v>
      </c>
      <c r="W82" s="16">
        <f t="shared" si="21"/>
        <v>0.75</v>
      </c>
      <c r="X82" s="17" cm="1">
        <f t="array" ref="X82">$H82 *
IF(ISNUMBER(SEARCH("Rapid",$L82)),7/6,1) *
IF(OR(ISNUMBER(SEARCH("Beam",$L82)),ISNUMBER(SEARCH("Firestorm",$L82))),1, IF(ISNUMBER(SEARCH("Blast",$L82)),(4+$F82+(2-$F82)*0.5)/6*2,(4+$F82)/6)) *
IF(ISNUMBER(SEARCH("Fusion",$L82)), _xlfn.IFS(X$24-$I82 &lt;=1, 9/10, X$24-$I82 &lt;=10,(11-(X$24-$I82))/10, X$24-$I82 &gt;=11, 0),
_xlfn.IFS(X$24-$I82 &lt;=1, 5/6, X$24-$I82 &lt;=5, (7-(X$24-$I82))/6, AND(X$24-$I82 =6,NOT(_xlfn.IFNA(ISNUMBER(SEARCH("Rending",$L82)),FALSE))), (7-(X$24-$I82))/6, AND(X$24-$I82 &gt;=7,NOT(_xlfn.IFNA(ISNUMBER(SEARCH("Rending",$L82)),FALSE))), 0, X$24-$I82 =7, (7-(X$24-1-$I82))/6, X$24-$I82 =8, (7-(X$24-2-$I82))/6*2/3, X$24-$I82 =9, (7-(X$24-3-$I82))/6*1/3, TRUE, 0)) *
IF(ISNUMBER(SEARCH("Ordinance",$L82)),7/6,1) *
IF(OR(ISNUMBER(SEARCH("Melee",$L82)),ISNUMBER(SEARCH("Bypass",$L82))),1.5,1)</f>
        <v>1.25</v>
      </c>
      <c r="Y82" s="17" cm="1">
        <f t="array" ref="Y82">$H82 *
IF(ISNUMBER(SEARCH("Rapid",$L82)),7/6,1) *
IF(OR(ISNUMBER(SEARCH("Beam",$L82)),ISNUMBER(SEARCH("Firestorm",$L82))),1, IF(ISNUMBER(SEARCH("Blast",$L82)),(4+$F82+(2-$F82)*0.5)/6*2,(4+$F82)/6)) *
IF(ISNUMBER(SEARCH("Fusion",$L82)), _xlfn.IFS(Y$24-$I82 &lt;=1, 9/10, Y$24-$I82 &lt;=10,(11-(Y$24-$I82))/10, Y$24-$I82 &gt;=11, 0),
_xlfn.IFS(Y$24-$I82 &lt;=1, 5/6, Y$24-$I82 &lt;=5, (7-(Y$24-$I82))/6, AND(Y$24-$I82 =6,NOT(_xlfn.IFNA(ISNUMBER(SEARCH("Rending",$L82)),FALSE))), (7-(Y$24-$I82))/6, AND(Y$24-$I82 &gt;=7,NOT(_xlfn.IFNA(ISNUMBER(SEARCH("Rending",$L82)),FALSE))), 0, Y$24-$I82 =7, (7-(Y$24-1-$I82))/6, Y$24-$I82 =8, (7-(Y$24-2-$I82))/6*2/3, Y$24-$I82 =9, (7-(Y$24-3-$I82))/6*1/3, TRUE, 0)) *
IF(ISNUMBER(SEARCH("Ordinance",$L82)),7/6,1) *
IF(OR(ISNUMBER(SEARCH("Melee",$L82)),ISNUMBER(SEARCH("Bypass",$L82))),1.5,1)</f>
        <v>1.25</v>
      </c>
      <c r="Z82" s="17" cm="1">
        <f t="array" ref="Z82">$H82 *
IF(ISNUMBER(SEARCH("Rapid",$L82)),7/6,1) *
IF(OR(ISNUMBER(SEARCH("Beam",$L82)),ISNUMBER(SEARCH("Firestorm",$L82))),1, IF(ISNUMBER(SEARCH("Blast",$L82)),(4+$F82+(2-$F82)*0.5)/6*2,(4+$F82)/6)) *
IF(ISNUMBER(SEARCH("Fusion",$L82)), _xlfn.IFS(Z$24-$I82 &lt;=1, 9/10, Z$24-$I82 &lt;=10,(11-(Z$24-$I82))/10, Z$24-$I82 &gt;=11, 0),
_xlfn.IFS(Z$24-$I82 &lt;=1, 5/6, Z$24-$I82 &lt;=5, (7-(Z$24-$I82))/6, AND(Z$24-$I82 =6,NOT(_xlfn.IFNA(ISNUMBER(SEARCH("Rending",$L82)),FALSE))), (7-(Z$24-$I82))/6, AND(Z$24-$I82 &gt;=7,NOT(_xlfn.IFNA(ISNUMBER(SEARCH("Rending",$L82)),FALSE))), 0, Z$24-$I82 =7, (7-(Z$24-1-$I82))/6, Z$24-$I82 =8, (7-(Z$24-2-$I82))/6*2/3, Z$24-$I82 =9, (7-(Z$24-3-$I82))/6*1/3, TRUE, 0)) *
IF(ISNUMBER(SEARCH("Ordinance",$L82)),7/6,1) *
IF(OR(ISNUMBER(SEARCH("Melee",$L82)),ISNUMBER(SEARCH("Bypass",$L82))),1.5,1)</f>
        <v>1.25</v>
      </c>
      <c r="AA82" s="17" cm="1">
        <f t="array" ref="AA82">$H82 *
IF(ISNUMBER(SEARCH("Rapid",$L82)),7/6,1) *
IF(OR(ISNUMBER(SEARCH("Beam",$L82)),ISNUMBER(SEARCH("Firestorm",$L82))),1, IF(ISNUMBER(SEARCH("Blast",$L82)),(4+$F82+(2-$F82)*0.5)/6*2,(4+$F82)/6)) *
IF(ISNUMBER(SEARCH("Fusion",$L82)), _xlfn.IFS(AA$24-$I82 &lt;=1, 9/10, AA$24-$I82 &lt;=10,(11-(AA$24-$I82))/10, AA$24-$I82 &gt;=11, 0),
_xlfn.IFS(AA$24-$I82 &lt;=1, 5/6, AA$24-$I82 &lt;=5, (7-(AA$24-$I82))/6, AND(AA$24-$I82 =6,NOT(_xlfn.IFNA(ISNUMBER(SEARCH("Rending",$L82)),FALSE))), (7-(AA$24-$I82))/6, AND(AA$24-$I82 &gt;=7,NOT(_xlfn.IFNA(ISNUMBER(SEARCH("Rending",$L82)),FALSE))), 0, AA$24-$I82 =7, (7-(AA$24-1-$I82))/6, AA$24-$I82 =8, (7-(AA$24-2-$I82))/6*2/3, AA$24-$I82 =9, (7-(AA$24-3-$I82))/6*1/3, TRUE, 0)) *
IF(ISNUMBER(SEARCH("Ordinance",$L82)),7/6,1) *
IF(OR(ISNUMBER(SEARCH("Melee",$L82)),ISNUMBER(SEARCH("Bypass",$L82))),1.5,1)</f>
        <v>1</v>
      </c>
      <c r="AB82" s="17" cm="1">
        <f t="array" ref="AB82">$H82 *
IF(ISNUMBER(SEARCH("Rapid",$L82)),7/6,1) *
IF(OR(ISNUMBER(SEARCH("Beam",$L82)),ISNUMBER(SEARCH("Firestorm",$L82))),1, IF(ISNUMBER(SEARCH("Blast",$L82)),(4+$F82+(2-$F82)*0.5)/6*2,(4+$F82)/6)) *
IF(ISNUMBER(SEARCH("Fusion",$L82)), _xlfn.IFS(AB$24-$I82 &lt;=1, 9/10, AB$24-$I82 &lt;=10,(11-(AB$24-$I82))/10, AB$24-$I82 &gt;=11, 0),
_xlfn.IFS(AB$24-$I82 &lt;=1, 5/6, AB$24-$I82 &lt;=5, (7-(AB$24-$I82))/6, AND(AB$24-$I82 =6,NOT(_xlfn.IFNA(ISNUMBER(SEARCH("Rending",$L82)),FALSE))), (7-(AB$24-$I82))/6, AND(AB$24-$I82 &gt;=7,NOT(_xlfn.IFNA(ISNUMBER(SEARCH("Rending",$L82)),FALSE))), 0, AB$24-$I82 =7, (7-(AB$24-1-$I82))/6, AB$24-$I82 =8, (7-(AB$24-2-$I82))/6*2/3, AB$24-$I82 =9, (7-(AB$24-3-$I82))/6*1/3, TRUE, 0)) *
IF(ISNUMBER(SEARCH("Ordinance",$L82)),7/6,1) *
IF(OR(ISNUMBER(SEARCH("Melee",$L82)),ISNUMBER(SEARCH("Bypass",$L82))),1.5,1)</f>
        <v>0.75</v>
      </c>
      <c r="AC82" s="17" cm="1">
        <f t="array" ref="AC82">$H82 *
IF(ISNUMBER(SEARCH("Rapid",$L82)),7/6,1) *
IF(OR(ISNUMBER(SEARCH("Beam",$L82)),ISNUMBER(SEARCH("Firestorm",$L82))),1, IF(ISNUMBER(SEARCH("Blast",$L82)),(4+$F82+(2-$F82)*0.5)/6*2,(4+$F82)/6)) *
IF(ISNUMBER(SEARCH("Fusion",$L82)), _xlfn.IFS(AC$24-$I82 &lt;=1, 9/10, AC$24-$I82 &lt;=10,(11-(AC$24-$I82))/10, AC$24-$I82 &gt;=11, 0),
_xlfn.IFS(AC$24-$I82 &lt;=1, 5/6, AC$24-$I82 &lt;=5, (7-(AC$24-$I82))/6, AND(AC$24-$I82 =6,NOT(_xlfn.IFNA(ISNUMBER(SEARCH("Rending",$L82)),FALSE))), (7-(AC$24-$I82))/6, AND(AC$24-$I82 &gt;=7,NOT(_xlfn.IFNA(ISNUMBER(SEARCH("Rending",$L82)),FALSE))), 0, AC$24-$I82 =7, (7-(AC$24-1-$I82))/6, AC$24-$I82 =8, (7-(AC$24-2-$I82))/6*2/3, AC$24-$I82 =9, (7-(AC$24-3-$I82))/6*1/3, TRUE, 0)) *
IF(ISNUMBER(SEARCH("Ordinance",$L82)),7/6,1) *
IF(OR(ISNUMBER(SEARCH("Melee",$L82)),ISNUMBER(SEARCH("Bypass",$L82))),1.5,1)</f>
        <v>0.5</v>
      </c>
      <c r="AD82" s="17" cm="1">
        <f t="array" ref="AD82">$H82 *
IF(ISNUMBER(SEARCH("Rapid",$L82)),7/6,1) *
IF(OR(ISNUMBER(SEARCH("Beam",$L82)),ISNUMBER(SEARCH("Firestorm",$L82))),1, IF(ISNUMBER(SEARCH("Blast",$L82)),(4+$F82+(2-$F82)*0.5)/6*2,(4+$F82)/6)) *
IF(ISNUMBER(SEARCH("Fusion",$L82)), _xlfn.IFS(AD$24-$I82 &lt;=1, 9/10, AD$24-$I82 &lt;=10,(11-(AD$24-$I82))/10, AD$24-$I82 &gt;=11, 0),
_xlfn.IFS(AD$24-$I82 &lt;=1, 5/6, AD$24-$I82 &lt;=5, (7-(AD$24-$I82))/6, AND(AD$24-$I82 =6,NOT(_xlfn.IFNA(ISNUMBER(SEARCH("Rending",$L82)),FALSE))), (7-(AD$24-$I82))/6, AND(AD$24-$I82 &gt;=7,NOT(_xlfn.IFNA(ISNUMBER(SEARCH("Rending",$L82)),FALSE))), 0, AD$24-$I82 =7, (7-(AD$24-1-$I82))/6, AD$24-$I82 =8, (7-(AD$24-2-$I82))/6*2/3, AD$24-$I82 =9, (7-(AD$24-3-$I82))/6*1/3, TRUE, 0)) *
IF(ISNUMBER(SEARCH("Ordinance",$L82)),7/6,1) *
IF(OR(ISNUMBER(SEARCH("Melee",$L82)),ISNUMBER(SEARCH("Bypass",$L82))),1.5,1)</f>
        <v>0.25</v>
      </c>
      <c r="AE82" s="17" cm="1">
        <f t="array" ref="AE82">$H82 *
IF(ISNUMBER(SEARCH("Rapid",$L82)),7/6,1) *
IF(OR(ISNUMBER(SEARCH("Beam",$L82)),ISNUMBER(SEARCH("Firestorm",$L82))),1, IF(ISNUMBER(SEARCH("Blast",$L82)),(4+$F82+(2-$F82)*0.5)/6*2,(4+$F82)/6)) *
IF(ISNUMBER(SEARCH("Fusion",$L82)), _xlfn.IFS(AE$24-$I82 &lt;=1, 9/10, AE$24-$I82 &lt;=10,(11-(AE$24-$I82))/10, AE$24-$I82 &gt;=11, 0),
_xlfn.IFS(AE$24-$I82 &lt;=1, 5/6, AE$24-$I82 &lt;=5, (7-(AE$24-$I82))/6, AND(AE$24-$I82 =6,NOT(_xlfn.IFNA(ISNUMBER(SEARCH("Rending",$L82)),FALSE))), (7-(AE$24-$I82))/6, AND(AE$24-$I82 &gt;=7,NOT(_xlfn.IFNA(ISNUMBER(SEARCH("Rending",$L82)),FALSE))), 0, AE$24-$I82 =7, (7-(AE$24-1-$I82))/6, AE$24-$I82 =8, (7-(AE$24-2-$I82))/6*2/3, AE$24-$I82 =9, (7-(AE$24-3-$I82))/6*1/3, TRUE, 0)) *
IF(ISNUMBER(SEARCH("Ordinance",$L82)),7/6,1) *
IF(OR(ISNUMBER(SEARCH("Melee",$L82)),ISNUMBER(SEARCH("Bypass",$L82))),1.5,1)</f>
        <v>0</v>
      </c>
      <c r="AF82" s="17" cm="1">
        <f t="array" ref="AF82">$H82 *
IF(ISNUMBER(SEARCH("Rapid",$L82)),7/6,1) *
IF(OR(ISNUMBER(SEARCH("Beam",$L82)),ISNUMBER(SEARCH("Firestorm",$L82))),1, IF(ISNUMBER(SEARCH("Blast",$L82)),(4+$F82+(2-$F82)*0.5)/6*2,(4+$F82)/6)) *
IF(ISNUMBER(SEARCH("Fusion",$L82)), _xlfn.IFS(AF$24-$I82 &lt;=1, 9/10, AF$24-$I82 &lt;=10,(11-(AF$24-$I82))/10, AF$24-$I82 &gt;=11, 0),
_xlfn.IFS(AF$24-$I82 &lt;=1, 5/6, AF$24-$I82 &lt;=5, (7-(AF$24-$I82))/6, AND(AF$24-$I82 =6,NOT(_xlfn.IFNA(ISNUMBER(SEARCH("Rending",$L82)),FALSE))), (7-(AF$24-$I82))/6, AND(AF$24-$I82 &gt;=7,NOT(_xlfn.IFNA(ISNUMBER(SEARCH("Rending",$L82)),FALSE))), 0, AF$24-$I82 =7, (7-(AF$24-1-$I82))/6, AF$24-$I82 =8, (7-(AF$24-2-$I82))/6*2/3, AF$24-$I82 =9, (7-(AF$24-3-$I82))/6*1/3, TRUE, 0)) *
IF(ISNUMBER(SEARCH("Ordinance",$L82)),7/6,1) *
IF(OR(ISNUMBER(SEARCH("Melee",$L82)),ISNUMBER(SEARCH("Bypass",$L82))),1.5,1)</f>
        <v>0</v>
      </c>
      <c r="AG82" s="16">
        <f t="shared" si="22"/>
        <v>0.55555555555555558</v>
      </c>
      <c r="AH82" s="16">
        <f t="shared" si="23"/>
        <v>0.83333333333333337</v>
      </c>
      <c r="AI82" s="17" cm="1">
        <f t="array" ref="AI82">$H82 *
IF(ISNUMBER(SEARCH("Rapid",$L82)),7/6,1) *
IF(OR(ISNUMBER(SEARCH("Beam",$L82)),ISNUMBER(SEARCH("Firestorm",$L82))),1, IF(ISNUMBER(SEARCH("Blast",$L82)),(4+$G82+(2-$G82)*0.5)/6*2,(4+$G82)/6)) *
_xlfn.IFS(AI$24-$I82 &lt;=1, 5/6, AI$24-$I82 &lt;=5, (7-(AI$24-$I82))/6, AND(AI$24-$I82 =6,NOT(_xlfn.IFNA(ISNUMBER(SEARCH("Rending",$L82)),FALSE))), (7-(AI$24-$I82))/6, AND(AI$24-$I82 &gt;=7,NOT(_xlfn.IFNA(ISNUMBER(SEARCH("Rending",$L82)),FALSE))), 0, AI$24-$I82 =7, (7-(AI$24-1-$I82))/6, AI$24-$I82 =8, (7-(AI$24-2-$I82))/6*2/3, AI$24-$I82 =9, (7-(AI$24-3-$I82))/6*1/3, TRUE, 0) *
IF(ISNUMBER(SEARCH("Ordinance",$L82)),7/6,1) *
IF(OR(ISNUMBER(SEARCH("Melee",$L82)),ISNUMBER(SEARCH("Bypass",$L82))),1.5,1)</f>
        <v>1.3888888888888891</v>
      </c>
      <c r="AJ82" s="17" cm="1">
        <f t="array" ref="AJ82">$H82 *
IF(ISNUMBER(SEARCH("Rapid",$L82)),7/6,1) *
IF(OR(ISNUMBER(SEARCH("Beam",$L82)),ISNUMBER(SEARCH("Firestorm",$L82))),1, IF(ISNUMBER(SEARCH("Blast",$L82)),(4+$G82+(2-$G82)*0.5)/6*2,(4+$G82)/6)) *
_xlfn.IFS(AJ$24-$I82 &lt;=1, 5/6, AJ$24-$I82 &lt;=5, (7-(AJ$24-$I82))/6, AND(AJ$24-$I82 =6,NOT(_xlfn.IFNA(ISNUMBER(SEARCH("Rending",$L82)),FALSE))), (7-(AJ$24-$I82))/6, AND(AJ$24-$I82 &gt;=7,NOT(_xlfn.IFNA(ISNUMBER(SEARCH("Rending",$L82)),FALSE))), 0, AJ$24-$I82 =7, (7-(AJ$24-1-$I82))/6, AJ$24-$I82 =8, (7-(AJ$24-2-$I82))/6*2/3, AJ$24-$I82 =9, (7-(AJ$24-3-$I82))/6*1/3, TRUE, 0) *
IF(ISNUMBER(SEARCH("Ordinance",$L82)),7/6,1) *
IF(OR(ISNUMBER(SEARCH("Melee",$L82)),ISNUMBER(SEARCH("Bypass",$L82))),1.5,1)</f>
        <v>1.3888888888888891</v>
      </c>
      <c r="AK82" s="17" cm="1">
        <f t="array" ref="AK82">$H82 *
IF(ISNUMBER(SEARCH("Rapid",$L82)),7/6,1) *
IF(OR(ISNUMBER(SEARCH("Beam",$L82)),ISNUMBER(SEARCH("Firestorm",$L82))),1, IF(ISNUMBER(SEARCH("Blast",$L82)),(4+$G82+(2-$G82)*0.5)/6*2,(4+$G82)/6)) *
_xlfn.IFS(AK$24-$I82 &lt;=1, 5/6, AK$24-$I82 &lt;=5, (7-(AK$24-$I82))/6, AND(AK$24-$I82 =6,NOT(_xlfn.IFNA(ISNUMBER(SEARCH("Rending",$L82)),FALSE))), (7-(AK$24-$I82))/6, AND(AK$24-$I82 &gt;=7,NOT(_xlfn.IFNA(ISNUMBER(SEARCH("Rending",$L82)),FALSE))), 0, AK$24-$I82 =7, (7-(AK$24-1-$I82))/6, AK$24-$I82 =8, (7-(AK$24-2-$I82))/6*2/3, AK$24-$I82 =9, (7-(AK$24-3-$I82))/6*1/3, TRUE, 0) *
IF(ISNUMBER(SEARCH("Ordinance",$L82)),7/6,1) *
IF(OR(ISNUMBER(SEARCH("Melee",$L82)),ISNUMBER(SEARCH("Bypass",$L82))),1.5,1)</f>
        <v>1.3888888888888891</v>
      </c>
      <c r="AL82" s="17" cm="1">
        <f t="array" ref="AL82">$H82 *
IF(ISNUMBER(SEARCH("Rapid",$L82)),7/6,1) *
IF(OR(ISNUMBER(SEARCH("Beam",$L82)),ISNUMBER(SEARCH("Firestorm",$L82))),1, IF(ISNUMBER(SEARCH("Blast",$L82)),(4+$G82+(2-$G82)*0.5)/6*2,(4+$G82)/6)) *
_xlfn.IFS(AL$24-$I82 &lt;=1, 5/6, AL$24-$I82 &lt;=5, (7-(AL$24-$I82))/6, AND(AL$24-$I82 =6,NOT(_xlfn.IFNA(ISNUMBER(SEARCH("Rending",$L82)),FALSE))), (7-(AL$24-$I82))/6, AND(AL$24-$I82 &gt;=7,NOT(_xlfn.IFNA(ISNUMBER(SEARCH("Rending",$L82)),FALSE))), 0, AL$24-$I82 =7, (7-(AL$24-1-$I82))/6, AL$24-$I82 =8, (7-(AL$24-2-$I82))/6*2/3, AL$24-$I82 =9, (7-(AL$24-3-$I82))/6*1/3, TRUE, 0) *
IF(ISNUMBER(SEARCH("Ordinance",$L82)),7/6,1) *
IF(OR(ISNUMBER(SEARCH("Melee",$L82)),ISNUMBER(SEARCH("Bypass",$L82))),1.5,1)</f>
        <v>1.1111111111111112</v>
      </c>
      <c r="AM82" s="17" cm="1">
        <f t="array" ref="AM82">$H82 *
IF(ISNUMBER(SEARCH("Rapid",$L82)),7/6,1) *
IF(OR(ISNUMBER(SEARCH("Beam",$L82)),ISNUMBER(SEARCH("Firestorm",$L82))),1, IF(ISNUMBER(SEARCH("Blast",$L82)),(4+$G82+(2-$G82)*0.5)/6*2,(4+$G82)/6)) *
_xlfn.IFS(AM$24-$I82 &lt;=1, 5/6, AM$24-$I82 &lt;=5, (7-(AM$24-$I82))/6, AND(AM$24-$I82 =6,NOT(_xlfn.IFNA(ISNUMBER(SEARCH("Rending",$L82)),FALSE))), (7-(AM$24-$I82))/6, AND(AM$24-$I82 &gt;=7,NOT(_xlfn.IFNA(ISNUMBER(SEARCH("Rending",$L82)),FALSE))), 0, AM$24-$I82 =7, (7-(AM$24-1-$I82))/6, AM$24-$I82 =8, (7-(AM$24-2-$I82))/6*2/3, AM$24-$I82 =9, (7-(AM$24-3-$I82))/6*1/3, TRUE, 0) *
IF(ISNUMBER(SEARCH("Ordinance",$L82)),7/6,1) *
IF(OR(ISNUMBER(SEARCH("Melee",$L82)),ISNUMBER(SEARCH("Bypass",$L82))),1.5,1)</f>
        <v>0.83333333333333337</v>
      </c>
      <c r="AN82" s="17" cm="1">
        <f t="array" ref="AN82">$H82 *
IF(ISNUMBER(SEARCH("Rapid",$L82)),7/6,1) *
IF(OR(ISNUMBER(SEARCH("Beam",$L82)),ISNUMBER(SEARCH("Firestorm",$L82))),1, IF(ISNUMBER(SEARCH("Blast",$L82)),(4+$G82+(2-$G82)*0.5)/6*2,(4+$G82)/6)) *
_xlfn.IFS(AN$24-$I82 &lt;=1, 5/6, AN$24-$I82 &lt;=5, (7-(AN$24-$I82))/6, AND(AN$24-$I82 =6,NOT(_xlfn.IFNA(ISNUMBER(SEARCH("Rending",$L82)),FALSE))), (7-(AN$24-$I82))/6, AND(AN$24-$I82 &gt;=7,NOT(_xlfn.IFNA(ISNUMBER(SEARCH("Rending",$L82)),FALSE))), 0, AN$24-$I82 =7, (7-(AN$24-1-$I82))/6, AN$24-$I82 =8, (7-(AN$24-2-$I82))/6*2/3, AN$24-$I82 =9, (7-(AN$24-3-$I82))/6*1/3, TRUE, 0) *
IF(ISNUMBER(SEARCH("Ordinance",$L82)),7/6,1) *
IF(OR(ISNUMBER(SEARCH("Melee",$L82)),ISNUMBER(SEARCH("Bypass",$L82))),1.5,1)</f>
        <v>0.55555555555555558</v>
      </c>
      <c r="AO82" s="17" cm="1">
        <f t="array" ref="AO82">$H82 *
IF(ISNUMBER(SEARCH("Rapid",$L82)),7/6,1) *
IF(OR(ISNUMBER(SEARCH("Beam",$L82)),ISNUMBER(SEARCH("Firestorm",$L82))),1, IF(ISNUMBER(SEARCH("Blast",$L82)),(4+$G82+(2-$G82)*0.5)/6*2,(4+$G82)/6)) *
_xlfn.IFS(AO$24-$I82 &lt;=1, 5/6, AO$24-$I82 &lt;=5, (7-(AO$24-$I82))/6, AND(AO$24-$I82 =6,NOT(_xlfn.IFNA(ISNUMBER(SEARCH("Rending",$L82)),FALSE))), (7-(AO$24-$I82))/6, AND(AO$24-$I82 &gt;=7,NOT(_xlfn.IFNA(ISNUMBER(SEARCH("Rending",$L82)),FALSE))), 0, AO$24-$I82 =7, (7-(AO$24-1-$I82))/6, AO$24-$I82 =8, (7-(AO$24-2-$I82))/6*2/3, AO$24-$I82 =9, (7-(AO$24-3-$I82))/6*1/3, TRUE, 0) *
IF(ISNUMBER(SEARCH("Ordinance",$L82)),7/6,1) *
IF(OR(ISNUMBER(SEARCH("Melee",$L82)),ISNUMBER(SEARCH("Bypass",$L82))),1.5,1)</f>
        <v>0.27777777777777779</v>
      </c>
      <c r="AP82" s="17" cm="1">
        <f t="array" ref="AP82">$H82 *
IF(ISNUMBER(SEARCH("Rapid",$L82)),7/6,1) *
IF(OR(ISNUMBER(SEARCH("Beam",$L82)),ISNUMBER(SEARCH("Firestorm",$L82))),1, IF(ISNUMBER(SEARCH("Blast",$L82)),(4+$G82+(2-$G82)*0.5)/6*2,(4+$G82)/6)) *
_xlfn.IFS(AP$24-$I82 &lt;=1, 5/6, AP$24-$I82 &lt;=5, (7-(AP$24-$I82))/6, AND(AP$24-$I82 =6,NOT(_xlfn.IFNA(ISNUMBER(SEARCH("Rending",$L82)),FALSE))), (7-(AP$24-$I82))/6, AND(AP$24-$I82 &gt;=7,NOT(_xlfn.IFNA(ISNUMBER(SEARCH("Rending",$L82)),FALSE))), 0, AP$24-$I82 =7, (7-(AP$24-1-$I82))/6, AP$24-$I82 =8, (7-(AP$24-2-$I82))/6*2/3, AP$24-$I82 =9, (7-(AP$24-3-$I82))/6*1/3, TRUE, 0) *
IF(ISNUMBER(SEARCH("Ordinance",$L82)),7/6,1) *
IF(OR(ISNUMBER(SEARCH("Melee",$L82)),ISNUMBER(SEARCH("Bypass",$L82))),1.5,1)</f>
        <v>0</v>
      </c>
      <c r="AQ82" s="17" cm="1">
        <f t="array" ref="AQ82">$H82 *
IF(ISNUMBER(SEARCH("Rapid",$L82)),7/6,1) *
IF(OR(ISNUMBER(SEARCH("Beam",$L82)),ISNUMBER(SEARCH("Firestorm",$L82))),1, IF(ISNUMBER(SEARCH("Blast",$L82)),(4+$G82+(2-$G82)*0.5)/6*2,(4+$G82)/6)) *
_xlfn.IFS(AQ$24-$I82 &lt;=1, 5/6, AQ$24-$I82 &lt;=5, (7-(AQ$24-$I82))/6, AND(AQ$24-$I82 =6,NOT(_xlfn.IFNA(ISNUMBER(SEARCH("Rending",$L82)),FALSE))), (7-(AQ$24-$I82))/6, AND(AQ$24-$I82 &gt;=7,NOT(_xlfn.IFNA(ISNUMBER(SEARCH("Rending",$L82)),FALSE))), 0, AQ$24-$I82 =7, (7-(AQ$24-1-$I82))/6, AQ$24-$I82 =8, (7-(AQ$24-2-$I82))/6*2/3, AQ$24-$I82 =9, (7-(AQ$24-3-$I82))/6*1/3, TRUE, 0) *
IF(ISNUMBER(SEARCH("Ordinance",$L82)),7/6,1) *
IF(OR(ISNUMBER(SEARCH("Melee",$L82)),ISNUMBER(SEARCH("Bypass",$L82))),1.5,1)</f>
        <v>0</v>
      </c>
      <c r="AS82" s="16">
        <f t="shared" si="25"/>
        <v>0.37037037037037041</v>
      </c>
      <c r="AT82" s="16">
        <f t="shared" si="25"/>
        <v>0.55555555555555558</v>
      </c>
      <c r="AU82" s="16">
        <f>IF(D82+E82=3,
 IF(E82=3, 2.5*AI82,
  IF(E82=2, 1.8*AI82+0.7*X82,
   IF(E82=1, 0.95*AI82+1.55*X82,
    2.5*X82))),
 IF(D82+E82=2,
  IF(E82=2, 1.55*AI82,
   IF(E82 =1, 0.85*AI82+0.7*X82,
    1.55*X82)),
  IF(E82=1, 0.95*AI82,
   0.7*X82))
)/3</f>
        <v>1.1250000000000002</v>
      </c>
      <c r="AV82" s="2">
        <v>11</v>
      </c>
    </row>
    <row r="83" spans="1:48" x14ac:dyDescent="0.3">
      <c r="A83" t="s">
        <v>232</v>
      </c>
      <c r="B83" s="3">
        <v>24</v>
      </c>
      <c r="C83" s="3">
        <v>72</v>
      </c>
      <c r="D83" s="3">
        <v>1</v>
      </c>
      <c r="E83" s="3">
        <v>2</v>
      </c>
      <c r="F83" s="10">
        <v>-1</v>
      </c>
      <c r="G83" s="10">
        <v>0</v>
      </c>
      <c r="H83" s="3">
        <v>1</v>
      </c>
      <c r="I83" s="3">
        <v>9</v>
      </c>
      <c r="J83" s="3" t="s">
        <v>233</v>
      </c>
      <c r="K83" s="3">
        <v>45</v>
      </c>
      <c r="L83" s="3" t="s">
        <v>235</v>
      </c>
      <c r="M83" s="3" t="s">
        <v>199</v>
      </c>
      <c r="N83" s="3">
        <v>11</v>
      </c>
      <c r="O83" s="3">
        <v>11</v>
      </c>
      <c r="P83" s="3">
        <v>15</v>
      </c>
      <c r="Q83" s="3" t="s">
        <v>200</v>
      </c>
      <c r="R83" s="3">
        <v>7</v>
      </c>
      <c r="S83" s="3">
        <v>9</v>
      </c>
      <c r="T83" s="3">
        <v>3</v>
      </c>
      <c r="V83" s="16">
        <f t="shared" si="20"/>
        <v>0.5</v>
      </c>
      <c r="W83" s="16">
        <f t="shared" si="21"/>
        <v>0.75</v>
      </c>
      <c r="X83" s="17" cm="1">
        <f t="array" ref="X83">$H83 *
IF(ISNUMBER(SEARCH("Rapid",$L83)),7/6,1) *
IF(OR(ISNUMBER(SEARCH("Beam",$L83)),ISNUMBER(SEARCH("Firestorm",$L83))),1, IF(ISNUMBER(SEARCH("Blast",$L83)),(4+$F83+(2-$F83)*0.5)/6*2,(4+$F83)/6)) *
IF(ISNUMBER(SEARCH("Fusion",$L83)), _xlfn.IFS(X$24-$I83 &lt;=1, 9/10, X$24-$I83 &lt;=10,(11-(X$24-$I83))/10, X$24-$I83 &gt;=11, 0),
_xlfn.IFS(X$24-$I83 &lt;=1, 5/6, X$24-$I83 &lt;=5, (7-(X$24-$I83))/6, AND(X$24-$I83 =6,NOT(_xlfn.IFNA(ISNUMBER(SEARCH("Rending",$L83)),FALSE))), (7-(X$24-$I83))/6, AND(X$24-$I83 &gt;=7,NOT(_xlfn.IFNA(ISNUMBER(SEARCH("Rending",$L83)),FALSE))), 0, X$24-$I83 =7, (7-(X$24-1-$I83))/6, X$24-$I83 =8, (7-(X$24-2-$I83))/6*2/3, X$24-$I83 =9, (7-(X$24-3-$I83))/6*1/3, TRUE, 0)) *
IF(ISNUMBER(SEARCH("Ordinance",$L83)),7/6,1) *
IF(OR(ISNUMBER(SEARCH("Melee",$L83)),ISNUMBER(SEARCH("Bypass",$L83))),1.5,1)</f>
        <v>1.25</v>
      </c>
      <c r="Y83" s="17" cm="1">
        <f t="array" ref="Y83">$H83 *
IF(ISNUMBER(SEARCH("Rapid",$L83)),7/6,1) *
IF(OR(ISNUMBER(SEARCH("Beam",$L83)),ISNUMBER(SEARCH("Firestorm",$L83))),1, IF(ISNUMBER(SEARCH("Blast",$L83)),(4+$F83+(2-$F83)*0.5)/6*2,(4+$F83)/6)) *
IF(ISNUMBER(SEARCH("Fusion",$L83)), _xlfn.IFS(Y$24-$I83 &lt;=1, 9/10, Y$24-$I83 &lt;=10,(11-(Y$24-$I83))/10, Y$24-$I83 &gt;=11, 0),
_xlfn.IFS(Y$24-$I83 &lt;=1, 5/6, Y$24-$I83 &lt;=5, (7-(Y$24-$I83))/6, AND(Y$24-$I83 =6,NOT(_xlfn.IFNA(ISNUMBER(SEARCH("Rending",$L83)),FALSE))), (7-(Y$24-$I83))/6, AND(Y$24-$I83 &gt;=7,NOT(_xlfn.IFNA(ISNUMBER(SEARCH("Rending",$L83)),FALSE))), 0, Y$24-$I83 =7, (7-(Y$24-1-$I83))/6, Y$24-$I83 =8, (7-(Y$24-2-$I83))/6*2/3, Y$24-$I83 =9, (7-(Y$24-3-$I83))/6*1/3, TRUE, 0)) *
IF(ISNUMBER(SEARCH("Ordinance",$L83)),7/6,1) *
IF(OR(ISNUMBER(SEARCH("Melee",$L83)),ISNUMBER(SEARCH("Bypass",$L83))),1.5,1)</f>
        <v>1.25</v>
      </c>
      <c r="Z83" s="17" cm="1">
        <f t="array" ref="Z83">$H83 *
IF(ISNUMBER(SEARCH("Rapid",$L83)),7/6,1) *
IF(OR(ISNUMBER(SEARCH("Beam",$L83)),ISNUMBER(SEARCH("Firestorm",$L83))),1, IF(ISNUMBER(SEARCH("Blast",$L83)),(4+$F83+(2-$F83)*0.5)/6*2,(4+$F83)/6)) *
IF(ISNUMBER(SEARCH("Fusion",$L83)), _xlfn.IFS(Z$24-$I83 &lt;=1, 9/10, Z$24-$I83 &lt;=10,(11-(Z$24-$I83))/10, Z$24-$I83 &gt;=11, 0),
_xlfn.IFS(Z$24-$I83 &lt;=1, 5/6, Z$24-$I83 &lt;=5, (7-(Z$24-$I83))/6, AND(Z$24-$I83 =6,NOT(_xlfn.IFNA(ISNUMBER(SEARCH("Rending",$L83)),FALSE))), (7-(Z$24-$I83))/6, AND(Z$24-$I83 &gt;=7,NOT(_xlfn.IFNA(ISNUMBER(SEARCH("Rending",$L83)),FALSE))), 0, Z$24-$I83 =7, (7-(Z$24-1-$I83))/6, Z$24-$I83 =8, (7-(Z$24-2-$I83))/6*2/3, Z$24-$I83 =9, (7-(Z$24-3-$I83))/6*1/3, TRUE, 0)) *
IF(ISNUMBER(SEARCH("Ordinance",$L83)),7/6,1) *
IF(OR(ISNUMBER(SEARCH("Melee",$L83)),ISNUMBER(SEARCH("Bypass",$L83))),1.5,1)</f>
        <v>1.25</v>
      </c>
      <c r="AA83" s="17" cm="1">
        <f t="array" ref="AA83">$H83 *
IF(ISNUMBER(SEARCH("Rapid",$L83)),7/6,1) *
IF(OR(ISNUMBER(SEARCH("Beam",$L83)),ISNUMBER(SEARCH("Firestorm",$L83))),1, IF(ISNUMBER(SEARCH("Blast",$L83)),(4+$F83+(2-$F83)*0.5)/6*2,(4+$F83)/6)) *
IF(ISNUMBER(SEARCH("Fusion",$L83)), _xlfn.IFS(AA$24-$I83 &lt;=1, 9/10, AA$24-$I83 &lt;=10,(11-(AA$24-$I83))/10, AA$24-$I83 &gt;=11, 0),
_xlfn.IFS(AA$24-$I83 &lt;=1, 5/6, AA$24-$I83 &lt;=5, (7-(AA$24-$I83))/6, AND(AA$24-$I83 =6,NOT(_xlfn.IFNA(ISNUMBER(SEARCH("Rending",$L83)),FALSE))), (7-(AA$24-$I83))/6, AND(AA$24-$I83 &gt;=7,NOT(_xlfn.IFNA(ISNUMBER(SEARCH("Rending",$L83)),FALSE))), 0, AA$24-$I83 =7, (7-(AA$24-1-$I83))/6, AA$24-$I83 =8, (7-(AA$24-2-$I83))/6*2/3, AA$24-$I83 =9, (7-(AA$24-3-$I83))/6*1/3, TRUE, 0)) *
IF(ISNUMBER(SEARCH("Ordinance",$L83)),7/6,1) *
IF(OR(ISNUMBER(SEARCH("Melee",$L83)),ISNUMBER(SEARCH("Bypass",$L83))),1.5,1)</f>
        <v>1</v>
      </c>
      <c r="AB83" s="17" cm="1">
        <f t="array" ref="AB83">$H83 *
IF(ISNUMBER(SEARCH("Rapid",$L83)),7/6,1) *
IF(OR(ISNUMBER(SEARCH("Beam",$L83)),ISNUMBER(SEARCH("Firestorm",$L83))),1, IF(ISNUMBER(SEARCH("Blast",$L83)),(4+$F83+(2-$F83)*0.5)/6*2,(4+$F83)/6)) *
IF(ISNUMBER(SEARCH("Fusion",$L83)), _xlfn.IFS(AB$24-$I83 &lt;=1, 9/10, AB$24-$I83 &lt;=10,(11-(AB$24-$I83))/10, AB$24-$I83 &gt;=11, 0),
_xlfn.IFS(AB$24-$I83 &lt;=1, 5/6, AB$24-$I83 &lt;=5, (7-(AB$24-$I83))/6, AND(AB$24-$I83 =6,NOT(_xlfn.IFNA(ISNUMBER(SEARCH("Rending",$L83)),FALSE))), (7-(AB$24-$I83))/6, AND(AB$24-$I83 &gt;=7,NOT(_xlfn.IFNA(ISNUMBER(SEARCH("Rending",$L83)),FALSE))), 0, AB$24-$I83 =7, (7-(AB$24-1-$I83))/6, AB$24-$I83 =8, (7-(AB$24-2-$I83))/6*2/3, AB$24-$I83 =9, (7-(AB$24-3-$I83))/6*1/3, TRUE, 0)) *
IF(ISNUMBER(SEARCH("Ordinance",$L83)),7/6,1) *
IF(OR(ISNUMBER(SEARCH("Melee",$L83)),ISNUMBER(SEARCH("Bypass",$L83))),1.5,1)</f>
        <v>0.75</v>
      </c>
      <c r="AC83" s="17" cm="1">
        <f t="array" ref="AC83">$H83 *
IF(ISNUMBER(SEARCH("Rapid",$L83)),7/6,1) *
IF(OR(ISNUMBER(SEARCH("Beam",$L83)),ISNUMBER(SEARCH("Firestorm",$L83))),1, IF(ISNUMBER(SEARCH("Blast",$L83)),(4+$F83+(2-$F83)*0.5)/6*2,(4+$F83)/6)) *
IF(ISNUMBER(SEARCH("Fusion",$L83)), _xlfn.IFS(AC$24-$I83 &lt;=1, 9/10, AC$24-$I83 &lt;=10,(11-(AC$24-$I83))/10, AC$24-$I83 &gt;=11, 0),
_xlfn.IFS(AC$24-$I83 &lt;=1, 5/6, AC$24-$I83 &lt;=5, (7-(AC$24-$I83))/6, AND(AC$24-$I83 =6,NOT(_xlfn.IFNA(ISNUMBER(SEARCH("Rending",$L83)),FALSE))), (7-(AC$24-$I83))/6, AND(AC$24-$I83 &gt;=7,NOT(_xlfn.IFNA(ISNUMBER(SEARCH("Rending",$L83)),FALSE))), 0, AC$24-$I83 =7, (7-(AC$24-1-$I83))/6, AC$24-$I83 =8, (7-(AC$24-2-$I83))/6*2/3, AC$24-$I83 =9, (7-(AC$24-3-$I83))/6*1/3, TRUE, 0)) *
IF(ISNUMBER(SEARCH("Ordinance",$L83)),7/6,1) *
IF(OR(ISNUMBER(SEARCH("Melee",$L83)),ISNUMBER(SEARCH("Bypass",$L83))),1.5,1)</f>
        <v>0.5</v>
      </c>
      <c r="AD83" s="17" cm="1">
        <f t="array" ref="AD83">$H83 *
IF(ISNUMBER(SEARCH("Rapid",$L83)),7/6,1) *
IF(OR(ISNUMBER(SEARCH("Beam",$L83)),ISNUMBER(SEARCH("Firestorm",$L83))),1, IF(ISNUMBER(SEARCH("Blast",$L83)),(4+$F83+(2-$F83)*0.5)/6*2,(4+$F83)/6)) *
IF(ISNUMBER(SEARCH("Fusion",$L83)), _xlfn.IFS(AD$24-$I83 &lt;=1, 9/10, AD$24-$I83 &lt;=10,(11-(AD$24-$I83))/10, AD$24-$I83 &gt;=11, 0),
_xlfn.IFS(AD$24-$I83 &lt;=1, 5/6, AD$24-$I83 &lt;=5, (7-(AD$24-$I83))/6, AND(AD$24-$I83 =6,NOT(_xlfn.IFNA(ISNUMBER(SEARCH("Rending",$L83)),FALSE))), (7-(AD$24-$I83))/6, AND(AD$24-$I83 &gt;=7,NOT(_xlfn.IFNA(ISNUMBER(SEARCH("Rending",$L83)),FALSE))), 0, AD$24-$I83 =7, (7-(AD$24-1-$I83))/6, AD$24-$I83 =8, (7-(AD$24-2-$I83))/6*2/3, AD$24-$I83 =9, (7-(AD$24-3-$I83))/6*1/3, TRUE, 0)) *
IF(ISNUMBER(SEARCH("Ordinance",$L83)),7/6,1) *
IF(OR(ISNUMBER(SEARCH("Melee",$L83)),ISNUMBER(SEARCH("Bypass",$L83))),1.5,1)</f>
        <v>0.25</v>
      </c>
      <c r="AE83" s="17" cm="1">
        <f t="array" ref="AE83">$H83 *
IF(ISNUMBER(SEARCH("Rapid",$L83)),7/6,1) *
IF(OR(ISNUMBER(SEARCH("Beam",$L83)),ISNUMBER(SEARCH("Firestorm",$L83))),1, IF(ISNUMBER(SEARCH("Blast",$L83)),(4+$F83+(2-$F83)*0.5)/6*2,(4+$F83)/6)) *
IF(ISNUMBER(SEARCH("Fusion",$L83)), _xlfn.IFS(AE$24-$I83 &lt;=1, 9/10, AE$24-$I83 &lt;=10,(11-(AE$24-$I83))/10, AE$24-$I83 &gt;=11, 0),
_xlfn.IFS(AE$24-$I83 &lt;=1, 5/6, AE$24-$I83 &lt;=5, (7-(AE$24-$I83))/6, AND(AE$24-$I83 =6,NOT(_xlfn.IFNA(ISNUMBER(SEARCH("Rending",$L83)),FALSE))), (7-(AE$24-$I83))/6, AND(AE$24-$I83 &gt;=7,NOT(_xlfn.IFNA(ISNUMBER(SEARCH("Rending",$L83)),FALSE))), 0, AE$24-$I83 =7, (7-(AE$24-1-$I83))/6, AE$24-$I83 =8, (7-(AE$24-2-$I83))/6*2/3, AE$24-$I83 =9, (7-(AE$24-3-$I83))/6*1/3, TRUE, 0)) *
IF(ISNUMBER(SEARCH("Ordinance",$L83)),7/6,1) *
IF(OR(ISNUMBER(SEARCH("Melee",$L83)),ISNUMBER(SEARCH("Bypass",$L83))),1.5,1)</f>
        <v>0</v>
      </c>
      <c r="AF83" s="17" cm="1">
        <f t="array" ref="AF83">$H83 *
IF(ISNUMBER(SEARCH("Rapid",$L83)),7/6,1) *
IF(OR(ISNUMBER(SEARCH("Beam",$L83)),ISNUMBER(SEARCH("Firestorm",$L83))),1, IF(ISNUMBER(SEARCH("Blast",$L83)),(4+$F83+(2-$F83)*0.5)/6*2,(4+$F83)/6)) *
IF(ISNUMBER(SEARCH("Fusion",$L83)), _xlfn.IFS(AF$24-$I83 &lt;=1, 9/10, AF$24-$I83 &lt;=10,(11-(AF$24-$I83))/10, AF$24-$I83 &gt;=11, 0),
_xlfn.IFS(AF$24-$I83 &lt;=1, 5/6, AF$24-$I83 &lt;=5, (7-(AF$24-$I83))/6, AND(AF$24-$I83 =6,NOT(_xlfn.IFNA(ISNUMBER(SEARCH("Rending",$L83)),FALSE))), (7-(AF$24-$I83))/6, AND(AF$24-$I83 &gt;=7,NOT(_xlfn.IFNA(ISNUMBER(SEARCH("Rending",$L83)),FALSE))), 0, AF$24-$I83 =7, (7-(AF$24-1-$I83))/6, AF$24-$I83 =8, (7-(AF$24-2-$I83))/6*2/3, AF$24-$I83 =9, (7-(AF$24-3-$I83))/6*1/3, TRUE, 0)) *
IF(ISNUMBER(SEARCH("Ordinance",$L83)),7/6,1) *
IF(OR(ISNUMBER(SEARCH("Melee",$L83)),ISNUMBER(SEARCH("Bypass",$L83))),1.5,1)</f>
        <v>0</v>
      </c>
      <c r="AG83" s="16">
        <f t="shared" si="22"/>
        <v>0.55555555555555558</v>
      </c>
      <c r="AH83" s="16">
        <f t="shared" si="23"/>
        <v>0.83333333333333337</v>
      </c>
      <c r="AI83" s="17" cm="1">
        <f t="array" ref="AI83">$H83 *
IF(ISNUMBER(SEARCH("Rapid",$L83)),7/6,1) *
IF(OR(ISNUMBER(SEARCH("Beam",$L83)),ISNUMBER(SEARCH("Firestorm",$L83))),1, IF(ISNUMBER(SEARCH("Blast",$L83)),(4+$G83+(2-$G83)*0.5)/6*2,(4+$G83)/6)) *
_xlfn.IFS(AI$24-$I83 &lt;=1, 5/6, AI$24-$I83 &lt;=5, (7-(AI$24-$I83))/6, AND(AI$24-$I83 =6,NOT(_xlfn.IFNA(ISNUMBER(SEARCH("Rending",$L83)),FALSE))), (7-(AI$24-$I83))/6, AND(AI$24-$I83 &gt;=7,NOT(_xlfn.IFNA(ISNUMBER(SEARCH("Rending",$L83)),FALSE))), 0, AI$24-$I83 =7, (7-(AI$24-1-$I83))/6, AI$24-$I83 =8, (7-(AI$24-2-$I83))/6*2/3, AI$24-$I83 =9, (7-(AI$24-3-$I83))/6*1/3, TRUE, 0) *
IF(ISNUMBER(SEARCH("Ordinance",$L83)),7/6,1) *
IF(OR(ISNUMBER(SEARCH("Melee",$L83)),ISNUMBER(SEARCH("Bypass",$L83))),1.5,1)</f>
        <v>1.3888888888888891</v>
      </c>
      <c r="AJ83" s="17" cm="1">
        <f t="array" ref="AJ83">$H83 *
IF(ISNUMBER(SEARCH("Rapid",$L83)),7/6,1) *
IF(OR(ISNUMBER(SEARCH("Beam",$L83)),ISNUMBER(SEARCH("Firestorm",$L83))),1, IF(ISNUMBER(SEARCH("Blast",$L83)),(4+$G83+(2-$G83)*0.5)/6*2,(4+$G83)/6)) *
_xlfn.IFS(AJ$24-$I83 &lt;=1, 5/6, AJ$24-$I83 &lt;=5, (7-(AJ$24-$I83))/6, AND(AJ$24-$I83 =6,NOT(_xlfn.IFNA(ISNUMBER(SEARCH("Rending",$L83)),FALSE))), (7-(AJ$24-$I83))/6, AND(AJ$24-$I83 &gt;=7,NOT(_xlfn.IFNA(ISNUMBER(SEARCH("Rending",$L83)),FALSE))), 0, AJ$24-$I83 =7, (7-(AJ$24-1-$I83))/6, AJ$24-$I83 =8, (7-(AJ$24-2-$I83))/6*2/3, AJ$24-$I83 =9, (7-(AJ$24-3-$I83))/6*1/3, TRUE, 0) *
IF(ISNUMBER(SEARCH("Ordinance",$L83)),7/6,1) *
IF(OR(ISNUMBER(SEARCH("Melee",$L83)),ISNUMBER(SEARCH("Bypass",$L83))),1.5,1)</f>
        <v>1.3888888888888891</v>
      </c>
      <c r="AK83" s="17" cm="1">
        <f t="array" ref="AK83">$H83 *
IF(ISNUMBER(SEARCH("Rapid",$L83)),7/6,1) *
IF(OR(ISNUMBER(SEARCH("Beam",$L83)),ISNUMBER(SEARCH("Firestorm",$L83))),1, IF(ISNUMBER(SEARCH("Blast",$L83)),(4+$G83+(2-$G83)*0.5)/6*2,(4+$G83)/6)) *
_xlfn.IFS(AK$24-$I83 &lt;=1, 5/6, AK$24-$I83 &lt;=5, (7-(AK$24-$I83))/6, AND(AK$24-$I83 =6,NOT(_xlfn.IFNA(ISNUMBER(SEARCH("Rending",$L83)),FALSE))), (7-(AK$24-$I83))/6, AND(AK$24-$I83 &gt;=7,NOT(_xlfn.IFNA(ISNUMBER(SEARCH("Rending",$L83)),FALSE))), 0, AK$24-$I83 =7, (7-(AK$24-1-$I83))/6, AK$24-$I83 =8, (7-(AK$24-2-$I83))/6*2/3, AK$24-$I83 =9, (7-(AK$24-3-$I83))/6*1/3, TRUE, 0) *
IF(ISNUMBER(SEARCH("Ordinance",$L83)),7/6,1) *
IF(OR(ISNUMBER(SEARCH("Melee",$L83)),ISNUMBER(SEARCH("Bypass",$L83))),1.5,1)</f>
        <v>1.3888888888888891</v>
      </c>
      <c r="AL83" s="17" cm="1">
        <f t="array" ref="AL83">$H83 *
IF(ISNUMBER(SEARCH("Rapid",$L83)),7/6,1) *
IF(OR(ISNUMBER(SEARCH("Beam",$L83)),ISNUMBER(SEARCH("Firestorm",$L83))),1, IF(ISNUMBER(SEARCH("Blast",$L83)),(4+$G83+(2-$G83)*0.5)/6*2,(4+$G83)/6)) *
_xlfn.IFS(AL$24-$I83 &lt;=1, 5/6, AL$24-$I83 &lt;=5, (7-(AL$24-$I83))/6, AND(AL$24-$I83 =6,NOT(_xlfn.IFNA(ISNUMBER(SEARCH("Rending",$L83)),FALSE))), (7-(AL$24-$I83))/6, AND(AL$24-$I83 &gt;=7,NOT(_xlfn.IFNA(ISNUMBER(SEARCH("Rending",$L83)),FALSE))), 0, AL$24-$I83 =7, (7-(AL$24-1-$I83))/6, AL$24-$I83 =8, (7-(AL$24-2-$I83))/6*2/3, AL$24-$I83 =9, (7-(AL$24-3-$I83))/6*1/3, TRUE, 0) *
IF(ISNUMBER(SEARCH("Ordinance",$L83)),7/6,1) *
IF(OR(ISNUMBER(SEARCH("Melee",$L83)),ISNUMBER(SEARCH("Bypass",$L83))),1.5,1)</f>
        <v>1.1111111111111112</v>
      </c>
      <c r="AM83" s="17" cm="1">
        <f t="array" ref="AM83">$H83 *
IF(ISNUMBER(SEARCH("Rapid",$L83)),7/6,1) *
IF(OR(ISNUMBER(SEARCH("Beam",$L83)),ISNUMBER(SEARCH("Firestorm",$L83))),1, IF(ISNUMBER(SEARCH("Blast",$L83)),(4+$G83+(2-$G83)*0.5)/6*2,(4+$G83)/6)) *
_xlfn.IFS(AM$24-$I83 &lt;=1, 5/6, AM$24-$I83 &lt;=5, (7-(AM$24-$I83))/6, AND(AM$24-$I83 =6,NOT(_xlfn.IFNA(ISNUMBER(SEARCH("Rending",$L83)),FALSE))), (7-(AM$24-$I83))/6, AND(AM$24-$I83 &gt;=7,NOT(_xlfn.IFNA(ISNUMBER(SEARCH("Rending",$L83)),FALSE))), 0, AM$24-$I83 =7, (7-(AM$24-1-$I83))/6, AM$24-$I83 =8, (7-(AM$24-2-$I83))/6*2/3, AM$24-$I83 =9, (7-(AM$24-3-$I83))/6*1/3, TRUE, 0) *
IF(ISNUMBER(SEARCH("Ordinance",$L83)),7/6,1) *
IF(OR(ISNUMBER(SEARCH("Melee",$L83)),ISNUMBER(SEARCH("Bypass",$L83))),1.5,1)</f>
        <v>0.83333333333333337</v>
      </c>
      <c r="AN83" s="17" cm="1">
        <f t="array" ref="AN83">$H83 *
IF(ISNUMBER(SEARCH("Rapid",$L83)),7/6,1) *
IF(OR(ISNUMBER(SEARCH("Beam",$L83)),ISNUMBER(SEARCH("Firestorm",$L83))),1, IF(ISNUMBER(SEARCH("Blast",$L83)),(4+$G83+(2-$G83)*0.5)/6*2,(4+$G83)/6)) *
_xlfn.IFS(AN$24-$I83 &lt;=1, 5/6, AN$24-$I83 &lt;=5, (7-(AN$24-$I83))/6, AND(AN$24-$I83 =6,NOT(_xlfn.IFNA(ISNUMBER(SEARCH("Rending",$L83)),FALSE))), (7-(AN$24-$I83))/6, AND(AN$24-$I83 &gt;=7,NOT(_xlfn.IFNA(ISNUMBER(SEARCH("Rending",$L83)),FALSE))), 0, AN$24-$I83 =7, (7-(AN$24-1-$I83))/6, AN$24-$I83 =8, (7-(AN$24-2-$I83))/6*2/3, AN$24-$I83 =9, (7-(AN$24-3-$I83))/6*1/3, TRUE, 0) *
IF(ISNUMBER(SEARCH("Ordinance",$L83)),7/6,1) *
IF(OR(ISNUMBER(SEARCH("Melee",$L83)),ISNUMBER(SEARCH("Bypass",$L83))),1.5,1)</f>
        <v>0.55555555555555558</v>
      </c>
      <c r="AO83" s="17" cm="1">
        <f t="array" ref="AO83">$H83 *
IF(ISNUMBER(SEARCH("Rapid",$L83)),7/6,1) *
IF(OR(ISNUMBER(SEARCH("Beam",$L83)),ISNUMBER(SEARCH("Firestorm",$L83))),1, IF(ISNUMBER(SEARCH("Blast",$L83)),(4+$G83+(2-$G83)*0.5)/6*2,(4+$G83)/6)) *
_xlfn.IFS(AO$24-$I83 &lt;=1, 5/6, AO$24-$I83 &lt;=5, (7-(AO$24-$I83))/6, AND(AO$24-$I83 =6,NOT(_xlfn.IFNA(ISNUMBER(SEARCH("Rending",$L83)),FALSE))), (7-(AO$24-$I83))/6, AND(AO$24-$I83 &gt;=7,NOT(_xlfn.IFNA(ISNUMBER(SEARCH("Rending",$L83)),FALSE))), 0, AO$24-$I83 =7, (7-(AO$24-1-$I83))/6, AO$24-$I83 =8, (7-(AO$24-2-$I83))/6*2/3, AO$24-$I83 =9, (7-(AO$24-3-$I83))/6*1/3, TRUE, 0) *
IF(ISNUMBER(SEARCH("Ordinance",$L83)),7/6,1) *
IF(OR(ISNUMBER(SEARCH("Melee",$L83)),ISNUMBER(SEARCH("Bypass",$L83))),1.5,1)</f>
        <v>0.27777777777777779</v>
      </c>
      <c r="AP83" s="17" cm="1">
        <f t="array" ref="AP83">$H83 *
IF(ISNUMBER(SEARCH("Rapid",$L83)),7/6,1) *
IF(OR(ISNUMBER(SEARCH("Beam",$L83)),ISNUMBER(SEARCH("Firestorm",$L83))),1, IF(ISNUMBER(SEARCH("Blast",$L83)),(4+$G83+(2-$G83)*0.5)/6*2,(4+$G83)/6)) *
_xlfn.IFS(AP$24-$I83 &lt;=1, 5/6, AP$24-$I83 &lt;=5, (7-(AP$24-$I83))/6, AND(AP$24-$I83 =6,NOT(_xlfn.IFNA(ISNUMBER(SEARCH("Rending",$L83)),FALSE))), (7-(AP$24-$I83))/6, AND(AP$24-$I83 &gt;=7,NOT(_xlfn.IFNA(ISNUMBER(SEARCH("Rending",$L83)),FALSE))), 0, AP$24-$I83 =7, (7-(AP$24-1-$I83))/6, AP$24-$I83 =8, (7-(AP$24-2-$I83))/6*2/3, AP$24-$I83 =9, (7-(AP$24-3-$I83))/6*1/3, TRUE, 0) *
IF(ISNUMBER(SEARCH("Ordinance",$L83)),7/6,1) *
IF(OR(ISNUMBER(SEARCH("Melee",$L83)),ISNUMBER(SEARCH("Bypass",$L83))),1.5,1)</f>
        <v>0</v>
      </c>
      <c r="AQ83" s="17" cm="1">
        <f t="array" ref="AQ83">$H83 *
IF(ISNUMBER(SEARCH("Rapid",$L83)),7/6,1) *
IF(OR(ISNUMBER(SEARCH("Beam",$L83)),ISNUMBER(SEARCH("Firestorm",$L83))),1, IF(ISNUMBER(SEARCH("Blast",$L83)),(4+$G83+(2-$G83)*0.5)/6*2,(4+$G83)/6)) *
_xlfn.IFS(AQ$24-$I83 &lt;=1, 5/6, AQ$24-$I83 &lt;=5, (7-(AQ$24-$I83))/6, AND(AQ$24-$I83 =6,NOT(_xlfn.IFNA(ISNUMBER(SEARCH("Rending",$L83)),FALSE))), (7-(AQ$24-$I83))/6, AND(AQ$24-$I83 &gt;=7,NOT(_xlfn.IFNA(ISNUMBER(SEARCH("Rending",$L83)),FALSE))), 0, AQ$24-$I83 =7, (7-(AQ$24-1-$I83))/6, AQ$24-$I83 =8, (7-(AQ$24-2-$I83))/6*2/3, AQ$24-$I83 =9, (7-(AQ$24-3-$I83))/6*1/3, TRUE, 0) *
IF(ISNUMBER(SEARCH("Ordinance",$L83)),7/6,1) *
IF(OR(ISNUMBER(SEARCH("Melee",$L83)),ISNUMBER(SEARCH("Bypass",$L83))),1.5,1)</f>
        <v>0</v>
      </c>
      <c r="AS83" s="16">
        <f t="shared" si="25"/>
        <v>0.37037037037037041</v>
      </c>
      <c r="AT83" s="16">
        <f t="shared" si="25"/>
        <v>0.55555555555555558</v>
      </c>
      <c r="AU83" s="16">
        <f>IF(D83+E83=3,
 IF(E83=3, 2.5*AI83,
  IF(E83=2, 1.8*AI83+0.7*X83,
   IF(E83=1, 0.95*AI83+1.55*X83,
    2.5*X83))),
 IF(D83+E83=2,
  IF(E83=2, 1.55*AI83,
   IF(E83 =1, 0.85*AI83+0.7*X83,
    1.55*X83)),
  IF(E83=1, 0.95*AI83,
   0.7*X83))
)/3</f>
        <v>1.1250000000000002</v>
      </c>
      <c r="AV83" s="2">
        <v>11</v>
      </c>
    </row>
    <row r="84" spans="1:48" x14ac:dyDescent="0.3">
      <c r="A84" s="4" t="s">
        <v>249</v>
      </c>
      <c r="V84" s="16">
        <f t="shared" si="20"/>
        <v>0</v>
      </c>
      <c r="W84" s="16">
        <f t="shared" si="21"/>
        <v>0</v>
      </c>
      <c r="X84" s="17" cm="1">
        <f t="array" ref="X84">$H84 *
IF(ISNUMBER(SEARCH("Rapid",$L84)),7/6,1) *
IF(OR(ISNUMBER(SEARCH("Beam",$L84)),ISNUMBER(SEARCH("Firestorm",$L84))),1, IF(ISNUMBER(SEARCH("Blast",$L84)),(4+$F84+(2-$F84)*0.5)/6*2,(4+$F84)/6)) *
IF(ISNUMBER(SEARCH("Fusion",$L84)), _xlfn.IFS(X$24-$I84 &lt;=1, 9/10, X$24-$I84 &lt;=10,(11-(X$24-$I84))/10, X$24-$I84 &gt;=11, 0),
_xlfn.IFS(X$24-$I84 &lt;=1, 5/6, X$24-$I84 &lt;=5, (7-(X$24-$I84))/6, AND(X$24-$I84 =6,NOT(_xlfn.IFNA(ISNUMBER(SEARCH("Rending",$L84)),FALSE))), (7-(X$24-$I84))/6, AND(X$24-$I84 &gt;=7,NOT(_xlfn.IFNA(ISNUMBER(SEARCH("Rending",$L84)),FALSE))), 0, X$24-$I84 =7, (7-(X$24-1-$I84))/6, X$24-$I84 =8, (7-(X$24-2-$I84))/6*2/3, X$24-$I84 =9, (7-(X$24-3-$I84))/6*1/3, TRUE, 0)) *
IF(ISNUMBER(SEARCH("Ordinance",$L84)),7/6,1) *
IF(OR(ISNUMBER(SEARCH("Melee",$L84)),ISNUMBER(SEARCH("Bypass",$L84))),1.5,1)</f>
        <v>0</v>
      </c>
      <c r="Y84" s="17" cm="1">
        <f t="array" ref="Y84">$H84 *
IF(ISNUMBER(SEARCH("Rapid",$L84)),7/6,1) *
IF(OR(ISNUMBER(SEARCH("Beam",$L84)),ISNUMBER(SEARCH("Firestorm",$L84))),1, IF(ISNUMBER(SEARCH("Blast",$L84)),(4+$F84+(2-$F84)*0.5)/6*2,(4+$F84)/6)) *
IF(ISNUMBER(SEARCH("Fusion",$L84)), _xlfn.IFS(Y$24-$I84 &lt;=1, 9/10, Y$24-$I84 &lt;=10,(11-(Y$24-$I84))/10, Y$24-$I84 &gt;=11, 0),
_xlfn.IFS(Y$24-$I84 &lt;=1, 5/6, Y$24-$I84 &lt;=5, (7-(Y$24-$I84))/6, AND(Y$24-$I84 =6,NOT(_xlfn.IFNA(ISNUMBER(SEARCH("Rending",$L84)),FALSE))), (7-(Y$24-$I84))/6, AND(Y$24-$I84 &gt;=7,NOT(_xlfn.IFNA(ISNUMBER(SEARCH("Rending",$L84)),FALSE))), 0, Y$24-$I84 =7, (7-(Y$24-1-$I84))/6, Y$24-$I84 =8, (7-(Y$24-2-$I84))/6*2/3, Y$24-$I84 =9, (7-(Y$24-3-$I84))/6*1/3, TRUE, 0)) *
IF(ISNUMBER(SEARCH("Ordinance",$L84)),7/6,1) *
IF(OR(ISNUMBER(SEARCH("Melee",$L84)),ISNUMBER(SEARCH("Bypass",$L84))),1.5,1)</f>
        <v>0</v>
      </c>
      <c r="Z84" s="17" cm="1">
        <f t="array" ref="Z84">$H84 *
IF(ISNUMBER(SEARCH("Rapid",$L84)),7/6,1) *
IF(OR(ISNUMBER(SEARCH("Beam",$L84)),ISNUMBER(SEARCH("Firestorm",$L84))),1, IF(ISNUMBER(SEARCH("Blast",$L84)),(4+$F84+(2-$F84)*0.5)/6*2,(4+$F84)/6)) *
IF(ISNUMBER(SEARCH("Fusion",$L84)), _xlfn.IFS(Z$24-$I84 &lt;=1, 9/10, Z$24-$I84 &lt;=10,(11-(Z$24-$I84))/10, Z$24-$I84 &gt;=11, 0),
_xlfn.IFS(Z$24-$I84 &lt;=1, 5/6, Z$24-$I84 &lt;=5, (7-(Z$24-$I84))/6, AND(Z$24-$I84 =6,NOT(_xlfn.IFNA(ISNUMBER(SEARCH("Rending",$L84)),FALSE))), (7-(Z$24-$I84))/6, AND(Z$24-$I84 &gt;=7,NOT(_xlfn.IFNA(ISNUMBER(SEARCH("Rending",$L84)),FALSE))), 0, Z$24-$I84 =7, (7-(Z$24-1-$I84))/6, Z$24-$I84 =8, (7-(Z$24-2-$I84))/6*2/3, Z$24-$I84 =9, (7-(Z$24-3-$I84))/6*1/3, TRUE, 0)) *
IF(ISNUMBER(SEARCH("Ordinance",$L84)),7/6,1) *
IF(OR(ISNUMBER(SEARCH("Melee",$L84)),ISNUMBER(SEARCH("Bypass",$L84))),1.5,1)</f>
        <v>0</v>
      </c>
      <c r="AA84" s="17" cm="1">
        <f t="array" ref="AA84">$H84 *
IF(ISNUMBER(SEARCH("Rapid",$L84)),7/6,1) *
IF(OR(ISNUMBER(SEARCH("Beam",$L84)),ISNUMBER(SEARCH("Firestorm",$L84))),1, IF(ISNUMBER(SEARCH("Blast",$L84)),(4+$F84+(2-$F84)*0.5)/6*2,(4+$F84)/6)) *
IF(ISNUMBER(SEARCH("Fusion",$L84)), _xlfn.IFS(AA$24-$I84 &lt;=1, 9/10, AA$24-$I84 &lt;=10,(11-(AA$24-$I84))/10, AA$24-$I84 &gt;=11, 0),
_xlfn.IFS(AA$24-$I84 &lt;=1, 5/6, AA$24-$I84 &lt;=5, (7-(AA$24-$I84))/6, AND(AA$24-$I84 =6,NOT(_xlfn.IFNA(ISNUMBER(SEARCH("Rending",$L84)),FALSE))), (7-(AA$24-$I84))/6, AND(AA$24-$I84 &gt;=7,NOT(_xlfn.IFNA(ISNUMBER(SEARCH("Rending",$L84)),FALSE))), 0, AA$24-$I84 =7, (7-(AA$24-1-$I84))/6, AA$24-$I84 =8, (7-(AA$24-2-$I84))/6*2/3, AA$24-$I84 =9, (7-(AA$24-3-$I84))/6*1/3, TRUE, 0)) *
IF(ISNUMBER(SEARCH("Ordinance",$L84)),7/6,1) *
IF(OR(ISNUMBER(SEARCH("Melee",$L84)),ISNUMBER(SEARCH("Bypass",$L84))),1.5,1)</f>
        <v>0</v>
      </c>
      <c r="AB84" s="17" cm="1">
        <f t="array" ref="AB84">$H84 *
IF(ISNUMBER(SEARCH("Rapid",$L84)),7/6,1) *
IF(OR(ISNUMBER(SEARCH("Beam",$L84)),ISNUMBER(SEARCH("Firestorm",$L84))),1, IF(ISNUMBER(SEARCH("Blast",$L84)),(4+$F84+(2-$F84)*0.5)/6*2,(4+$F84)/6)) *
IF(ISNUMBER(SEARCH("Fusion",$L84)), _xlfn.IFS(AB$24-$I84 &lt;=1, 9/10, AB$24-$I84 &lt;=10,(11-(AB$24-$I84))/10, AB$24-$I84 &gt;=11, 0),
_xlfn.IFS(AB$24-$I84 &lt;=1, 5/6, AB$24-$I84 &lt;=5, (7-(AB$24-$I84))/6, AND(AB$24-$I84 =6,NOT(_xlfn.IFNA(ISNUMBER(SEARCH("Rending",$L84)),FALSE))), (7-(AB$24-$I84))/6, AND(AB$24-$I84 &gt;=7,NOT(_xlfn.IFNA(ISNUMBER(SEARCH("Rending",$L84)),FALSE))), 0, AB$24-$I84 =7, (7-(AB$24-1-$I84))/6, AB$24-$I84 =8, (7-(AB$24-2-$I84))/6*2/3, AB$24-$I84 =9, (7-(AB$24-3-$I84))/6*1/3, TRUE, 0)) *
IF(ISNUMBER(SEARCH("Ordinance",$L84)),7/6,1) *
IF(OR(ISNUMBER(SEARCH("Melee",$L84)),ISNUMBER(SEARCH("Bypass",$L84))),1.5,1)</f>
        <v>0</v>
      </c>
      <c r="AC84" s="17" cm="1">
        <f t="array" ref="AC84">$H84 *
IF(ISNUMBER(SEARCH("Rapid",$L84)),7/6,1) *
IF(OR(ISNUMBER(SEARCH("Beam",$L84)),ISNUMBER(SEARCH("Firestorm",$L84))),1, IF(ISNUMBER(SEARCH("Blast",$L84)),(4+$F84+(2-$F84)*0.5)/6*2,(4+$F84)/6)) *
IF(ISNUMBER(SEARCH("Fusion",$L84)), _xlfn.IFS(AC$24-$I84 &lt;=1, 9/10, AC$24-$I84 &lt;=10,(11-(AC$24-$I84))/10, AC$24-$I84 &gt;=11, 0),
_xlfn.IFS(AC$24-$I84 &lt;=1, 5/6, AC$24-$I84 &lt;=5, (7-(AC$24-$I84))/6, AND(AC$24-$I84 =6,NOT(_xlfn.IFNA(ISNUMBER(SEARCH("Rending",$L84)),FALSE))), (7-(AC$24-$I84))/6, AND(AC$24-$I84 &gt;=7,NOT(_xlfn.IFNA(ISNUMBER(SEARCH("Rending",$L84)),FALSE))), 0, AC$24-$I84 =7, (7-(AC$24-1-$I84))/6, AC$24-$I84 =8, (7-(AC$24-2-$I84))/6*2/3, AC$24-$I84 =9, (7-(AC$24-3-$I84))/6*1/3, TRUE, 0)) *
IF(ISNUMBER(SEARCH("Ordinance",$L84)),7/6,1) *
IF(OR(ISNUMBER(SEARCH("Melee",$L84)),ISNUMBER(SEARCH("Bypass",$L84))),1.5,1)</f>
        <v>0</v>
      </c>
      <c r="AD84" s="17" cm="1">
        <f t="array" ref="AD84">$H84 *
IF(ISNUMBER(SEARCH("Rapid",$L84)),7/6,1) *
IF(OR(ISNUMBER(SEARCH("Beam",$L84)),ISNUMBER(SEARCH("Firestorm",$L84))),1, IF(ISNUMBER(SEARCH("Blast",$L84)),(4+$F84+(2-$F84)*0.5)/6*2,(4+$F84)/6)) *
IF(ISNUMBER(SEARCH("Fusion",$L84)), _xlfn.IFS(AD$24-$I84 &lt;=1, 9/10, AD$24-$I84 &lt;=10,(11-(AD$24-$I84))/10, AD$24-$I84 &gt;=11, 0),
_xlfn.IFS(AD$24-$I84 &lt;=1, 5/6, AD$24-$I84 &lt;=5, (7-(AD$24-$I84))/6, AND(AD$24-$I84 =6,NOT(_xlfn.IFNA(ISNUMBER(SEARCH("Rending",$L84)),FALSE))), (7-(AD$24-$I84))/6, AND(AD$24-$I84 &gt;=7,NOT(_xlfn.IFNA(ISNUMBER(SEARCH("Rending",$L84)),FALSE))), 0, AD$24-$I84 =7, (7-(AD$24-1-$I84))/6, AD$24-$I84 =8, (7-(AD$24-2-$I84))/6*2/3, AD$24-$I84 =9, (7-(AD$24-3-$I84))/6*1/3, TRUE, 0)) *
IF(ISNUMBER(SEARCH("Ordinance",$L84)),7/6,1) *
IF(OR(ISNUMBER(SEARCH("Melee",$L84)),ISNUMBER(SEARCH("Bypass",$L84))),1.5,1)</f>
        <v>0</v>
      </c>
      <c r="AE84" s="17" cm="1">
        <f t="array" ref="AE84">$H84 *
IF(ISNUMBER(SEARCH("Rapid",$L84)),7/6,1) *
IF(OR(ISNUMBER(SEARCH("Beam",$L84)),ISNUMBER(SEARCH("Firestorm",$L84))),1, IF(ISNUMBER(SEARCH("Blast",$L84)),(4+$F84+(2-$F84)*0.5)/6*2,(4+$F84)/6)) *
IF(ISNUMBER(SEARCH("Fusion",$L84)), _xlfn.IFS(AE$24-$I84 &lt;=1, 9/10, AE$24-$I84 &lt;=10,(11-(AE$24-$I84))/10, AE$24-$I84 &gt;=11, 0),
_xlfn.IFS(AE$24-$I84 &lt;=1, 5/6, AE$24-$I84 &lt;=5, (7-(AE$24-$I84))/6, AND(AE$24-$I84 =6,NOT(_xlfn.IFNA(ISNUMBER(SEARCH("Rending",$L84)),FALSE))), (7-(AE$24-$I84))/6, AND(AE$24-$I84 &gt;=7,NOT(_xlfn.IFNA(ISNUMBER(SEARCH("Rending",$L84)),FALSE))), 0, AE$24-$I84 =7, (7-(AE$24-1-$I84))/6, AE$24-$I84 =8, (7-(AE$24-2-$I84))/6*2/3, AE$24-$I84 =9, (7-(AE$24-3-$I84))/6*1/3, TRUE, 0)) *
IF(ISNUMBER(SEARCH("Ordinance",$L84)),7/6,1) *
IF(OR(ISNUMBER(SEARCH("Melee",$L84)),ISNUMBER(SEARCH("Bypass",$L84))),1.5,1)</f>
        <v>0</v>
      </c>
      <c r="AF84" s="17" cm="1">
        <f t="array" ref="AF84">$H84 *
IF(ISNUMBER(SEARCH("Rapid",$L84)),7/6,1) *
IF(OR(ISNUMBER(SEARCH("Beam",$L84)),ISNUMBER(SEARCH("Firestorm",$L84))),1, IF(ISNUMBER(SEARCH("Blast",$L84)),(4+$F84+(2-$F84)*0.5)/6*2,(4+$F84)/6)) *
IF(ISNUMBER(SEARCH("Fusion",$L84)), _xlfn.IFS(AF$24-$I84 &lt;=1, 9/10, AF$24-$I84 &lt;=10,(11-(AF$24-$I84))/10, AF$24-$I84 &gt;=11, 0),
_xlfn.IFS(AF$24-$I84 &lt;=1, 5/6, AF$24-$I84 &lt;=5, (7-(AF$24-$I84))/6, AND(AF$24-$I84 =6,NOT(_xlfn.IFNA(ISNUMBER(SEARCH("Rending",$L84)),FALSE))), (7-(AF$24-$I84))/6, AND(AF$24-$I84 &gt;=7,NOT(_xlfn.IFNA(ISNUMBER(SEARCH("Rending",$L84)),FALSE))), 0, AF$24-$I84 =7, (7-(AF$24-1-$I84))/6, AF$24-$I84 =8, (7-(AF$24-2-$I84))/6*2/3, AF$24-$I84 =9, (7-(AF$24-3-$I84))/6*1/3, TRUE, 0)) *
IF(ISNUMBER(SEARCH("Ordinance",$L84)),7/6,1) *
IF(OR(ISNUMBER(SEARCH("Melee",$L84)),ISNUMBER(SEARCH("Bypass",$L84))),1.5,1)</f>
        <v>0</v>
      </c>
      <c r="AG84" s="16">
        <f t="shared" si="22"/>
        <v>0</v>
      </c>
      <c r="AH84" s="16">
        <f t="shared" si="23"/>
        <v>0</v>
      </c>
      <c r="AI84" s="17" cm="1">
        <f t="array" ref="AI84">$H84 *
IF(ISNUMBER(SEARCH("Rapid",$L84)),7/6,1) *
IF(OR(ISNUMBER(SEARCH("Beam",$L84)),ISNUMBER(SEARCH("Firestorm",$L84))),1, IF(ISNUMBER(SEARCH("Blast",$L84)),(4+$G84+(2-$G84)*0.5)/6*2,(4+$G84)/6)) *
_xlfn.IFS(AI$24-$I84 &lt;=1, 5/6, AI$24-$I84 &lt;=5, (7-(AI$24-$I84))/6, AND(AI$24-$I84 =6,NOT(_xlfn.IFNA(ISNUMBER(SEARCH("Rending",$L84)),FALSE))), (7-(AI$24-$I84))/6, AND(AI$24-$I84 &gt;=7,NOT(_xlfn.IFNA(ISNUMBER(SEARCH("Rending",$L84)),FALSE))), 0, AI$24-$I84 =7, (7-(AI$24-1-$I84))/6, AI$24-$I84 =8, (7-(AI$24-2-$I84))/6*2/3, AI$24-$I84 =9, (7-(AI$24-3-$I84))/6*1/3, TRUE, 0) *
IF(ISNUMBER(SEARCH("Ordinance",$L84)),7/6,1) *
IF(OR(ISNUMBER(SEARCH("Melee",$L84)),ISNUMBER(SEARCH("Bypass",$L84))),1.5,1)</f>
        <v>0</v>
      </c>
      <c r="AJ84" s="17" cm="1">
        <f t="array" ref="AJ84">$H84 *
IF(ISNUMBER(SEARCH("Rapid",$L84)),7/6,1) *
IF(OR(ISNUMBER(SEARCH("Beam",$L84)),ISNUMBER(SEARCH("Firestorm",$L84))),1, IF(ISNUMBER(SEARCH("Blast",$L84)),(4+$G84+(2-$G84)*0.5)/6*2,(4+$G84)/6)) *
_xlfn.IFS(AJ$24-$I84 &lt;=1, 5/6, AJ$24-$I84 &lt;=5, (7-(AJ$24-$I84))/6, AND(AJ$24-$I84 =6,NOT(_xlfn.IFNA(ISNUMBER(SEARCH("Rending",$L84)),FALSE))), (7-(AJ$24-$I84))/6, AND(AJ$24-$I84 &gt;=7,NOT(_xlfn.IFNA(ISNUMBER(SEARCH("Rending",$L84)),FALSE))), 0, AJ$24-$I84 =7, (7-(AJ$24-1-$I84))/6, AJ$24-$I84 =8, (7-(AJ$24-2-$I84))/6*2/3, AJ$24-$I84 =9, (7-(AJ$24-3-$I84))/6*1/3, TRUE, 0) *
IF(ISNUMBER(SEARCH("Ordinance",$L84)),7/6,1) *
IF(OR(ISNUMBER(SEARCH("Melee",$L84)),ISNUMBER(SEARCH("Bypass",$L84))),1.5,1)</f>
        <v>0</v>
      </c>
      <c r="AK84" s="17" cm="1">
        <f t="array" ref="AK84">$H84 *
IF(ISNUMBER(SEARCH("Rapid",$L84)),7/6,1) *
IF(OR(ISNUMBER(SEARCH("Beam",$L84)),ISNUMBER(SEARCH("Firestorm",$L84))),1, IF(ISNUMBER(SEARCH("Blast",$L84)),(4+$G84+(2-$G84)*0.5)/6*2,(4+$G84)/6)) *
_xlfn.IFS(AK$24-$I84 &lt;=1, 5/6, AK$24-$I84 &lt;=5, (7-(AK$24-$I84))/6, AND(AK$24-$I84 =6,NOT(_xlfn.IFNA(ISNUMBER(SEARCH("Rending",$L84)),FALSE))), (7-(AK$24-$I84))/6, AND(AK$24-$I84 &gt;=7,NOT(_xlfn.IFNA(ISNUMBER(SEARCH("Rending",$L84)),FALSE))), 0, AK$24-$I84 =7, (7-(AK$24-1-$I84))/6, AK$24-$I84 =8, (7-(AK$24-2-$I84))/6*2/3, AK$24-$I84 =9, (7-(AK$24-3-$I84))/6*1/3, TRUE, 0) *
IF(ISNUMBER(SEARCH("Ordinance",$L84)),7/6,1) *
IF(OR(ISNUMBER(SEARCH("Melee",$L84)),ISNUMBER(SEARCH("Bypass",$L84))),1.5,1)</f>
        <v>0</v>
      </c>
      <c r="AL84" s="17" cm="1">
        <f t="array" ref="AL84">$H84 *
IF(ISNUMBER(SEARCH("Rapid",$L84)),7/6,1) *
IF(OR(ISNUMBER(SEARCH("Beam",$L84)),ISNUMBER(SEARCH("Firestorm",$L84))),1, IF(ISNUMBER(SEARCH("Blast",$L84)),(4+$G84+(2-$G84)*0.5)/6*2,(4+$G84)/6)) *
_xlfn.IFS(AL$24-$I84 &lt;=1, 5/6, AL$24-$I84 &lt;=5, (7-(AL$24-$I84))/6, AND(AL$24-$I84 =6,NOT(_xlfn.IFNA(ISNUMBER(SEARCH("Rending",$L84)),FALSE))), (7-(AL$24-$I84))/6, AND(AL$24-$I84 &gt;=7,NOT(_xlfn.IFNA(ISNUMBER(SEARCH("Rending",$L84)),FALSE))), 0, AL$24-$I84 =7, (7-(AL$24-1-$I84))/6, AL$24-$I84 =8, (7-(AL$24-2-$I84))/6*2/3, AL$24-$I84 =9, (7-(AL$24-3-$I84))/6*1/3, TRUE, 0) *
IF(ISNUMBER(SEARCH("Ordinance",$L84)),7/6,1) *
IF(OR(ISNUMBER(SEARCH("Melee",$L84)),ISNUMBER(SEARCH("Bypass",$L84))),1.5,1)</f>
        <v>0</v>
      </c>
      <c r="AM84" s="17" cm="1">
        <f t="array" ref="AM84">$H84 *
IF(ISNUMBER(SEARCH("Rapid",$L84)),7/6,1) *
IF(OR(ISNUMBER(SEARCH("Beam",$L84)),ISNUMBER(SEARCH("Firestorm",$L84))),1, IF(ISNUMBER(SEARCH("Blast",$L84)),(4+$G84+(2-$G84)*0.5)/6*2,(4+$G84)/6)) *
_xlfn.IFS(AM$24-$I84 &lt;=1, 5/6, AM$24-$I84 &lt;=5, (7-(AM$24-$I84))/6, AND(AM$24-$I84 =6,NOT(_xlfn.IFNA(ISNUMBER(SEARCH("Rending",$L84)),FALSE))), (7-(AM$24-$I84))/6, AND(AM$24-$I84 &gt;=7,NOT(_xlfn.IFNA(ISNUMBER(SEARCH("Rending",$L84)),FALSE))), 0, AM$24-$I84 =7, (7-(AM$24-1-$I84))/6, AM$24-$I84 =8, (7-(AM$24-2-$I84))/6*2/3, AM$24-$I84 =9, (7-(AM$24-3-$I84))/6*1/3, TRUE, 0) *
IF(ISNUMBER(SEARCH("Ordinance",$L84)),7/6,1) *
IF(OR(ISNUMBER(SEARCH("Melee",$L84)),ISNUMBER(SEARCH("Bypass",$L84))),1.5,1)</f>
        <v>0</v>
      </c>
      <c r="AN84" s="17" cm="1">
        <f t="array" ref="AN84">$H84 *
IF(ISNUMBER(SEARCH("Rapid",$L84)),7/6,1) *
IF(OR(ISNUMBER(SEARCH("Beam",$L84)),ISNUMBER(SEARCH("Firestorm",$L84))),1, IF(ISNUMBER(SEARCH("Blast",$L84)),(4+$G84+(2-$G84)*0.5)/6*2,(4+$G84)/6)) *
_xlfn.IFS(AN$24-$I84 &lt;=1, 5/6, AN$24-$I84 &lt;=5, (7-(AN$24-$I84))/6, AND(AN$24-$I84 =6,NOT(_xlfn.IFNA(ISNUMBER(SEARCH("Rending",$L84)),FALSE))), (7-(AN$24-$I84))/6, AND(AN$24-$I84 &gt;=7,NOT(_xlfn.IFNA(ISNUMBER(SEARCH("Rending",$L84)),FALSE))), 0, AN$24-$I84 =7, (7-(AN$24-1-$I84))/6, AN$24-$I84 =8, (7-(AN$24-2-$I84))/6*2/3, AN$24-$I84 =9, (7-(AN$24-3-$I84))/6*1/3, TRUE, 0) *
IF(ISNUMBER(SEARCH("Ordinance",$L84)),7/6,1) *
IF(OR(ISNUMBER(SEARCH("Melee",$L84)),ISNUMBER(SEARCH("Bypass",$L84))),1.5,1)</f>
        <v>0</v>
      </c>
      <c r="AO84" s="17" cm="1">
        <f t="array" ref="AO84">$H84 *
IF(ISNUMBER(SEARCH("Rapid",$L84)),7/6,1) *
IF(OR(ISNUMBER(SEARCH("Beam",$L84)),ISNUMBER(SEARCH("Firestorm",$L84))),1, IF(ISNUMBER(SEARCH("Blast",$L84)),(4+$G84+(2-$G84)*0.5)/6*2,(4+$G84)/6)) *
_xlfn.IFS(AO$24-$I84 &lt;=1, 5/6, AO$24-$I84 &lt;=5, (7-(AO$24-$I84))/6, AND(AO$24-$I84 =6,NOT(_xlfn.IFNA(ISNUMBER(SEARCH("Rending",$L84)),FALSE))), (7-(AO$24-$I84))/6, AND(AO$24-$I84 &gt;=7,NOT(_xlfn.IFNA(ISNUMBER(SEARCH("Rending",$L84)),FALSE))), 0, AO$24-$I84 =7, (7-(AO$24-1-$I84))/6, AO$24-$I84 =8, (7-(AO$24-2-$I84))/6*2/3, AO$24-$I84 =9, (7-(AO$24-3-$I84))/6*1/3, TRUE, 0) *
IF(ISNUMBER(SEARCH("Ordinance",$L84)),7/6,1) *
IF(OR(ISNUMBER(SEARCH("Melee",$L84)),ISNUMBER(SEARCH("Bypass",$L84))),1.5,1)</f>
        <v>0</v>
      </c>
      <c r="AP84" s="17" cm="1">
        <f t="array" ref="AP84">$H84 *
IF(ISNUMBER(SEARCH("Rapid",$L84)),7/6,1) *
IF(OR(ISNUMBER(SEARCH("Beam",$L84)),ISNUMBER(SEARCH("Firestorm",$L84))),1, IF(ISNUMBER(SEARCH("Blast",$L84)),(4+$G84+(2-$G84)*0.5)/6*2,(4+$G84)/6)) *
_xlfn.IFS(AP$24-$I84 &lt;=1, 5/6, AP$24-$I84 &lt;=5, (7-(AP$24-$I84))/6, AND(AP$24-$I84 =6,NOT(_xlfn.IFNA(ISNUMBER(SEARCH("Rending",$L84)),FALSE))), (7-(AP$24-$I84))/6, AND(AP$24-$I84 &gt;=7,NOT(_xlfn.IFNA(ISNUMBER(SEARCH("Rending",$L84)),FALSE))), 0, AP$24-$I84 =7, (7-(AP$24-1-$I84))/6, AP$24-$I84 =8, (7-(AP$24-2-$I84))/6*2/3, AP$24-$I84 =9, (7-(AP$24-3-$I84))/6*1/3, TRUE, 0) *
IF(ISNUMBER(SEARCH("Ordinance",$L84)),7/6,1) *
IF(OR(ISNUMBER(SEARCH("Melee",$L84)),ISNUMBER(SEARCH("Bypass",$L84))),1.5,1)</f>
        <v>0</v>
      </c>
      <c r="AQ84" s="17" cm="1">
        <f t="array" ref="AQ84">$H84 *
IF(ISNUMBER(SEARCH("Rapid",$L84)),7/6,1) *
IF(OR(ISNUMBER(SEARCH("Beam",$L84)),ISNUMBER(SEARCH("Firestorm",$L84))),1, IF(ISNUMBER(SEARCH("Blast",$L84)),(4+$G84+(2-$G84)*0.5)/6*2,(4+$G84)/6)) *
_xlfn.IFS(AQ$24-$I84 &lt;=1, 5/6, AQ$24-$I84 &lt;=5, (7-(AQ$24-$I84))/6, AND(AQ$24-$I84 =6,NOT(_xlfn.IFNA(ISNUMBER(SEARCH("Rending",$L84)),FALSE))), (7-(AQ$24-$I84))/6, AND(AQ$24-$I84 &gt;=7,NOT(_xlfn.IFNA(ISNUMBER(SEARCH("Rending",$L84)),FALSE))), 0, AQ$24-$I84 =7, (7-(AQ$24-1-$I84))/6, AQ$24-$I84 =8, (7-(AQ$24-2-$I84))/6*2/3, AQ$24-$I84 =9, (7-(AQ$24-3-$I84))/6*1/3, TRUE, 0) *
IF(ISNUMBER(SEARCH("Ordinance",$L84)),7/6,1) *
IF(OR(ISNUMBER(SEARCH("Melee",$L84)),ISNUMBER(SEARCH("Bypass",$L84))),1.5,1)</f>
        <v>0</v>
      </c>
    </row>
    <row r="85" spans="1:48" x14ac:dyDescent="0.3">
      <c r="V85" s="16">
        <f t="shared" si="20"/>
        <v>0</v>
      </c>
      <c r="W85" s="16">
        <f t="shared" si="21"/>
        <v>0</v>
      </c>
      <c r="X85" s="17" cm="1">
        <f t="array" ref="X85">$H85 *
IF(ISNUMBER(SEARCH("Rapid",$L85)),7/6,1) *
IF(OR(ISNUMBER(SEARCH("Beam",$L85)),ISNUMBER(SEARCH("Firestorm",$L85))),1, IF(ISNUMBER(SEARCH("Blast",$L85)),(4+$F85+(2-$F85)*0.5)/6*2,(4+$F85)/6)) *
IF(ISNUMBER(SEARCH("Fusion",$L85)), _xlfn.IFS(X$24-$I85 &lt;=1, 9/10, X$24-$I85 &lt;=10,(11-(X$24-$I85))/10, X$24-$I85 &gt;=11, 0),
_xlfn.IFS(X$24-$I85 &lt;=1, 5/6, X$24-$I85 &lt;=5, (7-(X$24-$I85))/6, AND(X$24-$I85 =6,NOT(_xlfn.IFNA(ISNUMBER(SEARCH("Rending",$L85)),FALSE))), (7-(X$24-$I85))/6, AND(X$24-$I85 &gt;=7,NOT(_xlfn.IFNA(ISNUMBER(SEARCH("Rending",$L85)),FALSE))), 0, X$24-$I85 =7, (7-(X$24-1-$I85))/6, X$24-$I85 =8, (7-(X$24-2-$I85))/6*2/3, X$24-$I85 =9, (7-(X$24-3-$I85))/6*1/3, TRUE, 0)) *
IF(ISNUMBER(SEARCH("Ordinance",$L85)),7/6,1) *
IF(OR(ISNUMBER(SEARCH("Melee",$L85)),ISNUMBER(SEARCH("Bypass",$L85))),1.5,1)</f>
        <v>0</v>
      </c>
      <c r="Y85" s="17" cm="1">
        <f t="array" ref="Y85">$H85 *
IF(ISNUMBER(SEARCH("Rapid",$L85)),7/6,1) *
IF(OR(ISNUMBER(SEARCH("Beam",$L85)),ISNUMBER(SEARCH("Firestorm",$L85))),1, IF(ISNUMBER(SEARCH("Blast",$L85)),(4+$F85+(2-$F85)*0.5)/6*2,(4+$F85)/6)) *
IF(ISNUMBER(SEARCH("Fusion",$L85)), _xlfn.IFS(Y$24-$I85 &lt;=1, 9/10, Y$24-$I85 &lt;=10,(11-(Y$24-$I85))/10, Y$24-$I85 &gt;=11, 0),
_xlfn.IFS(Y$24-$I85 &lt;=1, 5/6, Y$24-$I85 &lt;=5, (7-(Y$24-$I85))/6, AND(Y$24-$I85 =6,NOT(_xlfn.IFNA(ISNUMBER(SEARCH("Rending",$L85)),FALSE))), (7-(Y$24-$I85))/6, AND(Y$24-$I85 &gt;=7,NOT(_xlfn.IFNA(ISNUMBER(SEARCH("Rending",$L85)),FALSE))), 0, Y$24-$I85 =7, (7-(Y$24-1-$I85))/6, Y$24-$I85 =8, (7-(Y$24-2-$I85))/6*2/3, Y$24-$I85 =9, (7-(Y$24-3-$I85))/6*1/3, TRUE, 0)) *
IF(ISNUMBER(SEARCH("Ordinance",$L85)),7/6,1) *
IF(OR(ISNUMBER(SEARCH("Melee",$L85)),ISNUMBER(SEARCH("Bypass",$L85))),1.5,1)</f>
        <v>0</v>
      </c>
      <c r="Z85" s="17" cm="1">
        <f t="array" ref="Z85">$H85 *
IF(ISNUMBER(SEARCH("Rapid",$L85)),7/6,1) *
IF(OR(ISNUMBER(SEARCH("Beam",$L85)),ISNUMBER(SEARCH("Firestorm",$L85))),1, IF(ISNUMBER(SEARCH("Blast",$L85)),(4+$F85+(2-$F85)*0.5)/6*2,(4+$F85)/6)) *
IF(ISNUMBER(SEARCH("Fusion",$L85)), _xlfn.IFS(Z$24-$I85 &lt;=1, 9/10, Z$24-$I85 &lt;=10,(11-(Z$24-$I85))/10, Z$24-$I85 &gt;=11, 0),
_xlfn.IFS(Z$24-$I85 &lt;=1, 5/6, Z$24-$I85 &lt;=5, (7-(Z$24-$I85))/6, AND(Z$24-$I85 =6,NOT(_xlfn.IFNA(ISNUMBER(SEARCH("Rending",$L85)),FALSE))), (7-(Z$24-$I85))/6, AND(Z$24-$I85 &gt;=7,NOT(_xlfn.IFNA(ISNUMBER(SEARCH("Rending",$L85)),FALSE))), 0, Z$24-$I85 =7, (7-(Z$24-1-$I85))/6, Z$24-$I85 =8, (7-(Z$24-2-$I85))/6*2/3, Z$24-$I85 =9, (7-(Z$24-3-$I85))/6*1/3, TRUE, 0)) *
IF(ISNUMBER(SEARCH("Ordinance",$L85)),7/6,1) *
IF(OR(ISNUMBER(SEARCH("Melee",$L85)),ISNUMBER(SEARCH("Bypass",$L85))),1.5,1)</f>
        <v>0</v>
      </c>
      <c r="AA85" s="17" cm="1">
        <f t="array" ref="AA85">$H85 *
IF(ISNUMBER(SEARCH("Rapid",$L85)),7/6,1) *
IF(OR(ISNUMBER(SEARCH("Beam",$L85)),ISNUMBER(SEARCH("Firestorm",$L85))),1, IF(ISNUMBER(SEARCH("Blast",$L85)),(4+$F85+(2-$F85)*0.5)/6*2,(4+$F85)/6)) *
IF(ISNUMBER(SEARCH("Fusion",$L85)), _xlfn.IFS(AA$24-$I85 &lt;=1, 9/10, AA$24-$I85 &lt;=10,(11-(AA$24-$I85))/10, AA$24-$I85 &gt;=11, 0),
_xlfn.IFS(AA$24-$I85 &lt;=1, 5/6, AA$24-$I85 &lt;=5, (7-(AA$24-$I85))/6, AND(AA$24-$I85 =6,NOT(_xlfn.IFNA(ISNUMBER(SEARCH("Rending",$L85)),FALSE))), (7-(AA$24-$I85))/6, AND(AA$24-$I85 &gt;=7,NOT(_xlfn.IFNA(ISNUMBER(SEARCH("Rending",$L85)),FALSE))), 0, AA$24-$I85 =7, (7-(AA$24-1-$I85))/6, AA$24-$I85 =8, (7-(AA$24-2-$I85))/6*2/3, AA$24-$I85 =9, (7-(AA$24-3-$I85))/6*1/3, TRUE, 0)) *
IF(ISNUMBER(SEARCH("Ordinance",$L85)),7/6,1) *
IF(OR(ISNUMBER(SEARCH("Melee",$L85)),ISNUMBER(SEARCH("Bypass",$L85))),1.5,1)</f>
        <v>0</v>
      </c>
      <c r="AB85" s="17" cm="1">
        <f t="array" ref="AB85">$H85 *
IF(ISNUMBER(SEARCH("Rapid",$L85)),7/6,1) *
IF(OR(ISNUMBER(SEARCH("Beam",$L85)),ISNUMBER(SEARCH("Firestorm",$L85))),1, IF(ISNUMBER(SEARCH("Blast",$L85)),(4+$F85+(2-$F85)*0.5)/6*2,(4+$F85)/6)) *
IF(ISNUMBER(SEARCH("Fusion",$L85)), _xlfn.IFS(AB$24-$I85 &lt;=1, 9/10, AB$24-$I85 &lt;=10,(11-(AB$24-$I85))/10, AB$24-$I85 &gt;=11, 0),
_xlfn.IFS(AB$24-$I85 &lt;=1, 5/6, AB$24-$I85 &lt;=5, (7-(AB$24-$I85))/6, AND(AB$24-$I85 =6,NOT(_xlfn.IFNA(ISNUMBER(SEARCH("Rending",$L85)),FALSE))), (7-(AB$24-$I85))/6, AND(AB$24-$I85 &gt;=7,NOT(_xlfn.IFNA(ISNUMBER(SEARCH("Rending",$L85)),FALSE))), 0, AB$24-$I85 =7, (7-(AB$24-1-$I85))/6, AB$24-$I85 =8, (7-(AB$24-2-$I85))/6*2/3, AB$24-$I85 =9, (7-(AB$24-3-$I85))/6*1/3, TRUE, 0)) *
IF(ISNUMBER(SEARCH("Ordinance",$L85)),7/6,1) *
IF(OR(ISNUMBER(SEARCH("Melee",$L85)),ISNUMBER(SEARCH("Bypass",$L85))),1.5,1)</f>
        <v>0</v>
      </c>
      <c r="AC85" s="17" cm="1">
        <f t="array" ref="AC85">$H85 *
IF(ISNUMBER(SEARCH("Rapid",$L85)),7/6,1) *
IF(OR(ISNUMBER(SEARCH("Beam",$L85)),ISNUMBER(SEARCH("Firestorm",$L85))),1, IF(ISNUMBER(SEARCH("Blast",$L85)),(4+$F85+(2-$F85)*0.5)/6*2,(4+$F85)/6)) *
IF(ISNUMBER(SEARCH("Fusion",$L85)), _xlfn.IFS(AC$24-$I85 &lt;=1, 9/10, AC$24-$I85 &lt;=10,(11-(AC$24-$I85))/10, AC$24-$I85 &gt;=11, 0),
_xlfn.IFS(AC$24-$I85 &lt;=1, 5/6, AC$24-$I85 &lt;=5, (7-(AC$24-$I85))/6, AND(AC$24-$I85 =6,NOT(_xlfn.IFNA(ISNUMBER(SEARCH("Rending",$L85)),FALSE))), (7-(AC$24-$I85))/6, AND(AC$24-$I85 &gt;=7,NOT(_xlfn.IFNA(ISNUMBER(SEARCH("Rending",$L85)),FALSE))), 0, AC$24-$I85 =7, (7-(AC$24-1-$I85))/6, AC$24-$I85 =8, (7-(AC$24-2-$I85))/6*2/3, AC$24-$I85 =9, (7-(AC$24-3-$I85))/6*1/3, TRUE, 0)) *
IF(ISNUMBER(SEARCH("Ordinance",$L85)),7/6,1) *
IF(OR(ISNUMBER(SEARCH("Melee",$L85)),ISNUMBER(SEARCH("Bypass",$L85))),1.5,1)</f>
        <v>0</v>
      </c>
      <c r="AD85" s="17" cm="1">
        <f t="array" ref="AD85">$H85 *
IF(ISNUMBER(SEARCH("Rapid",$L85)),7/6,1) *
IF(OR(ISNUMBER(SEARCH("Beam",$L85)),ISNUMBER(SEARCH("Firestorm",$L85))),1, IF(ISNUMBER(SEARCH("Blast",$L85)),(4+$F85+(2-$F85)*0.5)/6*2,(4+$F85)/6)) *
IF(ISNUMBER(SEARCH("Fusion",$L85)), _xlfn.IFS(AD$24-$I85 &lt;=1, 9/10, AD$24-$I85 &lt;=10,(11-(AD$24-$I85))/10, AD$24-$I85 &gt;=11, 0),
_xlfn.IFS(AD$24-$I85 &lt;=1, 5/6, AD$24-$I85 &lt;=5, (7-(AD$24-$I85))/6, AND(AD$24-$I85 =6,NOT(_xlfn.IFNA(ISNUMBER(SEARCH("Rending",$L85)),FALSE))), (7-(AD$24-$I85))/6, AND(AD$24-$I85 &gt;=7,NOT(_xlfn.IFNA(ISNUMBER(SEARCH("Rending",$L85)),FALSE))), 0, AD$24-$I85 =7, (7-(AD$24-1-$I85))/6, AD$24-$I85 =8, (7-(AD$24-2-$I85))/6*2/3, AD$24-$I85 =9, (7-(AD$24-3-$I85))/6*1/3, TRUE, 0)) *
IF(ISNUMBER(SEARCH("Ordinance",$L85)),7/6,1) *
IF(OR(ISNUMBER(SEARCH("Melee",$L85)),ISNUMBER(SEARCH("Bypass",$L85))),1.5,1)</f>
        <v>0</v>
      </c>
      <c r="AE85" s="17" cm="1">
        <f t="array" ref="AE85">$H85 *
IF(ISNUMBER(SEARCH("Rapid",$L85)),7/6,1) *
IF(OR(ISNUMBER(SEARCH("Beam",$L85)),ISNUMBER(SEARCH("Firestorm",$L85))),1, IF(ISNUMBER(SEARCH("Blast",$L85)),(4+$F85+(2-$F85)*0.5)/6*2,(4+$F85)/6)) *
IF(ISNUMBER(SEARCH("Fusion",$L85)), _xlfn.IFS(AE$24-$I85 &lt;=1, 9/10, AE$24-$I85 &lt;=10,(11-(AE$24-$I85))/10, AE$24-$I85 &gt;=11, 0),
_xlfn.IFS(AE$24-$I85 &lt;=1, 5/6, AE$24-$I85 &lt;=5, (7-(AE$24-$I85))/6, AND(AE$24-$I85 =6,NOT(_xlfn.IFNA(ISNUMBER(SEARCH("Rending",$L85)),FALSE))), (7-(AE$24-$I85))/6, AND(AE$24-$I85 &gt;=7,NOT(_xlfn.IFNA(ISNUMBER(SEARCH("Rending",$L85)),FALSE))), 0, AE$24-$I85 =7, (7-(AE$24-1-$I85))/6, AE$24-$I85 =8, (7-(AE$24-2-$I85))/6*2/3, AE$24-$I85 =9, (7-(AE$24-3-$I85))/6*1/3, TRUE, 0)) *
IF(ISNUMBER(SEARCH("Ordinance",$L85)),7/6,1) *
IF(OR(ISNUMBER(SEARCH("Melee",$L85)),ISNUMBER(SEARCH("Bypass",$L85))),1.5,1)</f>
        <v>0</v>
      </c>
      <c r="AF85" s="17" cm="1">
        <f t="array" ref="AF85">$H85 *
IF(ISNUMBER(SEARCH("Rapid",$L85)),7/6,1) *
IF(OR(ISNUMBER(SEARCH("Beam",$L85)),ISNUMBER(SEARCH("Firestorm",$L85))),1, IF(ISNUMBER(SEARCH("Blast",$L85)),(4+$F85+(2-$F85)*0.5)/6*2,(4+$F85)/6)) *
IF(ISNUMBER(SEARCH("Fusion",$L85)), _xlfn.IFS(AF$24-$I85 &lt;=1, 9/10, AF$24-$I85 &lt;=10,(11-(AF$24-$I85))/10, AF$24-$I85 &gt;=11, 0),
_xlfn.IFS(AF$24-$I85 &lt;=1, 5/6, AF$24-$I85 &lt;=5, (7-(AF$24-$I85))/6, AND(AF$24-$I85 =6,NOT(_xlfn.IFNA(ISNUMBER(SEARCH("Rending",$L85)),FALSE))), (7-(AF$24-$I85))/6, AND(AF$24-$I85 &gt;=7,NOT(_xlfn.IFNA(ISNUMBER(SEARCH("Rending",$L85)),FALSE))), 0, AF$24-$I85 =7, (7-(AF$24-1-$I85))/6, AF$24-$I85 =8, (7-(AF$24-2-$I85))/6*2/3, AF$24-$I85 =9, (7-(AF$24-3-$I85))/6*1/3, TRUE, 0)) *
IF(ISNUMBER(SEARCH("Ordinance",$L85)),7/6,1) *
IF(OR(ISNUMBER(SEARCH("Melee",$L85)),ISNUMBER(SEARCH("Bypass",$L85))),1.5,1)</f>
        <v>0</v>
      </c>
      <c r="AG85" s="16">
        <f t="shared" si="22"/>
        <v>0</v>
      </c>
      <c r="AH85" s="16">
        <f t="shared" si="23"/>
        <v>0</v>
      </c>
      <c r="AI85" s="17" cm="1">
        <f t="array" ref="AI85">$H85 *
IF(ISNUMBER(SEARCH("Rapid",$L85)),7/6,1) *
IF(OR(ISNUMBER(SEARCH("Beam",$L85)),ISNUMBER(SEARCH("Firestorm",$L85))),1, IF(ISNUMBER(SEARCH("Blast",$L85)),(4+$G85+(2-$G85)*0.5)/6*2,(4+$G85)/6)) *
_xlfn.IFS(AI$24-$I85 &lt;=1, 5/6, AI$24-$I85 &lt;=5, (7-(AI$24-$I85))/6, AND(AI$24-$I85 =6,NOT(_xlfn.IFNA(ISNUMBER(SEARCH("Rending",$L85)),FALSE))), (7-(AI$24-$I85))/6, AND(AI$24-$I85 &gt;=7,NOT(_xlfn.IFNA(ISNUMBER(SEARCH("Rending",$L85)),FALSE))), 0, AI$24-$I85 =7, (7-(AI$24-1-$I85))/6, AI$24-$I85 =8, (7-(AI$24-2-$I85))/6*2/3, AI$24-$I85 =9, (7-(AI$24-3-$I85))/6*1/3, TRUE, 0) *
IF(ISNUMBER(SEARCH("Ordinance",$L85)),7/6,1) *
IF(OR(ISNUMBER(SEARCH("Melee",$L85)),ISNUMBER(SEARCH("Bypass",$L85))),1.5,1)</f>
        <v>0</v>
      </c>
      <c r="AJ85" s="17" cm="1">
        <f t="array" ref="AJ85">$H85 *
IF(ISNUMBER(SEARCH("Rapid",$L85)),7/6,1) *
IF(OR(ISNUMBER(SEARCH("Beam",$L85)),ISNUMBER(SEARCH("Firestorm",$L85))),1, IF(ISNUMBER(SEARCH("Blast",$L85)),(4+$G85+(2-$G85)*0.5)/6*2,(4+$G85)/6)) *
_xlfn.IFS(AJ$24-$I85 &lt;=1, 5/6, AJ$24-$I85 &lt;=5, (7-(AJ$24-$I85))/6, AND(AJ$24-$I85 =6,NOT(_xlfn.IFNA(ISNUMBER(SEARCH("Rending",$L85)),FALSE))), (7-(AJ$24-$I85))/6, AND(AJ$24-$I85 &gt;=7,NOT(_xlfn.IFNA(ISNUMBER(SEARCH("Rending",$L85)),FALSE))), 0, AJ$24-$I85 =7, (7-(AJ$24-1-$I85))/6, AJ$24-$I85 =8, (7-(AJ$24-2-$I85))/6*2/3, AJ$24-$I85 =9, (7-(AJ$24-3-$I85))/6*1/3, TRUE, 0) *
IF(ISNUMBER(SEARCH("Ordinance",$L85)),7/6,1) *
IF(OR(ISNUMBER(SEARCH("Melee",$L85)),ISNUMBER(SEARCH("Bypass",$L85))),1.5,1)</f>
        <v>0</v>
      </c>
      <c r="AK85" s="17" cm="1">
        <f t="array" ref="AK85">$H85 *
IF(ISNUMBER(SEARCH("Rapid",$L85)),7/6,1) *
IF(OR(ISNUMBER(SEARCH("Beam",$L85)),ISNUMBER(SEARCH("Firestorm",$L85))),1, IF(ISNUMBER(SEARCH("Blast",$L85)),(4+$G85+(2-$G85)*0.5)/6*2,(4+$G85)/6)) *
_xlfn.IFS(AK$24-$I85 &lt;=1, 5/6, AK$24-$I85 &lt;=5, (7-(AK$24-$I85))/6, AND(AK$24-$I85 =6,NOT(_xlfn.IFNA(ISNUMBER(SEARCH("Rending",$L85)),FALSE))), (7-(AK$24-$I85))/6, AND(AK$24-$I85 &gt;=7,NOT(_xlfn.IFNA(ISNUMBER(SEARCH("Rending",$L85)),FALSE))), 0, AK$24-$I85 =7, (7-(AK$24-1-$I85))/6, AK$24-$I85 =8, (7-(AK$24-2-$I85))/6*2/3, AK$24-$I85 =9, (7-(AK$24-3-$I85))/6*1/3, TRUE, 0) *
IF(ISNUMBER(SEARCH("Ordinance",$L85)),7/6,1) *
IF(OR(ISNUMBER(SEARCH("Melee",$L85)),ISNUMBER(SEARCH("Bypass",$L85))),1.5,1)</f>
        <v>0</v>
      </c>
      <c r="AL85" s="17" cm="1">
        <f t="array" ref="AL85">$H85 *
IF(ISNUMBER(SEARCH("Rapid",$L85)),7/6,1) *
IF(OR(ISNUMBER(SEARCH("Beam",$L85)),ISNUMBER(SEARCH("Firestorm",$L85))),1, IF(ISNUMBER(SEARCH("Blast",$L85)),(4+$G85+(2-$G85)*0.5)/6*2,(4+$G85)/6)) *
_xlfn.IFS(AL$24-$I85 &lt;=1, 5/6, AL$24-$I85 &lt;=5, (7-(AL$24-$I85))/6, AND(AL$24-$I85 =6,NOT(_xlfn.IFNA(ISNUMBER(SEARCH("Rending",$L85)),FALSE))), (7-(AL$24-$I85))/6, AND(AL$24-$I85 &gt;=7,NOT(_xlfn.IFNA(ISNUMBER(SEARCH("Rending",$L85)),FALSE))), 0, AL$24-$I85 =7, (7-(AL$24-1-$I85))/6, AL$24-$I85 =8, (7-(AL$24-2-$I85))/6*2/3, AL$24-$I85 =9, (7-(AL$24-3-$I85))/6*1/3, TRUE, 0) *
IF(ISNUMBER(SEARCH("Ordinance",$L85)),7/6,1) *
IF(OR(ISNUMBER(SEARCH("Melee",$L85)),ISNUMBER(SEARCH("Bypass",$L85))),1.5,1)</f>
        <v>0</v>
      </c>
      <c r="AM85" s="17" cm="1">
        <f t="array" ref="AM85">$H85 *
IF(ISNUMBER(SEARCH("Rapid",$L85)),7/6,1) *
IF(OR(ISNUMBER(SEARCH("Beam",$L85)),ISNUMBER(SEARCH("Firestorm",$L85))),1, IF(ISNUMBER(SEARCH("Blast",$L85)),(4+$G85+(2-$G85)*0.5)/6*2,(4+$G85)/6)) *
_xlfn.IFS(AM$24-$I85 &lt;=1, 5/6, AM$24-$I85 &lt;=5, (7-(AM$24-$I85))/6, AND(AM$24-$I85 =6,NOT(_xlfn.IFNA(ISNUMBER(SEARCH("Rending",$L85)),FALSE))), (7-(AM$24-$I85))/6, AND(AM$24-$I85 &gt;=7,NOT(_xlfn.IFNA(ISNUMBER(SEARCH("Rending",$L85)),FALSE))), 0, AM$24-$I85 =7, (7-(AM$24-1-$I85))/6, AM$24-$I85 =8, (7-(AM$24-2-$I85))/6*2/3, AM$24-$I85 =9, (7-(AM$24-3-$I85))/6*1/3, TRUE, 0) *
IF(ISNUMBER(SEARCH("Ordinance",$L85)),7/6,1) *
IF(OR(ISNUMBER(SEARCH("Melee",$L85)),ISNUMBER(SEARCH("Bypass",$L85))),1.5,1)</f>
        <v>0</v>
      </c>
      <c r="AN85" s="17" cm="1">
        <f t="array" ref="AN85">$H85 *
IF(ISNUMBER(SEARCH("Rapid",$L85)),7/6,1) *
IF(OR(ISNUMBER(SEARCH("Beam",$L85)),ISNUMBER(SEARCH("Firestorm",$L85))),1, IF(ISNUMBER(SEARCH("Blast",$L85)),(4+$G85+(2-$G85)*0.5)/6*2,(4+$G85)/6)) *
_xlfn.IFS(AN$24-$I85 &lt;=1, 5/6, AN$24-$I85 &lt;=5, (7-(AN$24-$I85))/6, AND(AN$24-$I85 =6,NOT(_xlfn.IFNA(ISNUMBER(SEARCH("Rending",$L85)),FALSE))), (7-(AN$24-$I85))/6, AND(AN$24-$I85 &gt;=7,NOT(_xlfn.IFNA(ISNUMBER(SEARCH("Rending",$L85)),FALSE))), 0, AN$24-$I85 =7, (7-(AN$24-1-$I85))/6, AN$24-$I85 =8, (7-(AN$24-2-$I85))/6*2/3, AN$24-$I85 =9, (7-(AN$24-3-$I85))/6*1/3, TRUE, 0) *
IF(ISNUMBER(SEARCH("Ordinance",$L85)),7/6,1) *
IF(OR(ISNUMBER(SEARCH("Melee",$L85)),ISNUMBER(SEARCH("Bypass",$L85))),1.5,1)</f>
        <v>0</v>
      </c>
      <c r="AO85" s="17" cm="1">
        <f t="array" ref="AO85">$H85 *
IF(ISNUMBER(SEARCH("Rapid",$L85)),7/6,1) *
IF(OR(ISNUMBER(SEARCH("Beam",$L85)),ISNUMBER(SEARCH("Firestorm",$L85))),1, IF(ISNUMBER(SEARCH("Blast",$L85)),(4+$G85+(2-$G85)*0.5)/6*2,(4+$G85)/6)) *
_xlfn.IFS(AO$24-$I85 &lt;=1, 5/6, AO$24-$I85 &lt;=5, (7-(AO$24-$I85))/6, AND(AO$24-$I85 =6,NOT(_xlfn.IFNA(ISNUMBER(SEARCH("Rending",$L85)),FALSE))), (7-(AO$24-$I85))/6, AND(AO$24-$I85 &gt;=7,NOT(_xlfn.IFNA(ISNUMBER(SEARCH("Rending",$L85)),FALSE))), 0, AO$24-$I85 =7, (7-(AO$24-1-$I85))/6, AO$24-$I85 =8, (7-(AO$24-2-$I85))/6*2/3, AO$24-$I85 =9, (7-(AO$24-3-$I85))/6*1/3, TRUE, 0) *
IF(ISNUMBER(SEARCH("Ordinance",$L85)),7/6,1) *
IF(OR(ISNUMBER(SEARCH("Melee",$L85)),ISNUMBER(SEARCH("Bypass",$L85))),1.5,1)</f>
        <v>0</v>
      </c>
      <c r="AP85" s="17" cm="1">
        <f t="array" ref="AP85">$H85 *
IF(ISNUMBER(SEARCH("Rapid",$L85)),7/6,1) *
IF(OR(ISNUMBER(SEARCH("Beam",$L85)),ISNUMBER(SEARCH("Firestorm",$L85))),1, IF(ISNUMBER(SEARCH("Blast",$L85)),(4+$G85+(2-$G85)*0.5)/6*2,(4+$G85)/6)) *
_xlfn.IFS(AP$24-$I85 &lt;=1, 5/6, AP$24-$I85 &lt;=5, (7-(AP$24-$I85))/6, AND(AP$24-$I85 =6,NOT(_xlfn.IFNA(ISNUMBER(SEARCH("Rending",$L85)),FALSE))), (7-(AP$24-$I85))/6, AND(AP$24-$I85 &gt;=7,NOT(_xlfn.IFNA(ISNUMBER(SEARCH("Rending",$L85)),FALSE))), 0, AP$24-$I85 =7, (7-(AP$24-1-$I85))/6, AP$24-$I85 =8, (7-(AP$24-2-$I85))/6*2/3, AP$24-$I85 =9, (7-(AP$24-3-$I85))/6*1/3, TRUE, 0) *
IF(ISNUMBER(SEARCH("Ordinance",$L85)),7/6,1) *
IF(OR(ISNUMBER(SEARCH("Melee",$L85)),ISNUMBER(SEARCH("Bypass",$L85))),1.5,1)</f>
        <v>0</v>
      </c>
      <c r="AQ85" s="17" cm="1">
        <f t="array" ref="AQ85">$H85 *
IF(ISNUMBER(SEARCH("Rapid",$L85)),7/6,1) *
IF(OR(ISNUMBER(SEARCH("Beam",$L85)),ISNUMBER(SEARCH("Firestorm",$L85))),1, IF(ISNUMBER(SEARCH("Blast",$L85)),(4+$G85+(2-$G85)*0.5)/6*2,(4+$G85)/6)) *
_xlfn.IFS(AQ$24-$I85 &lt;=1, 5/6, AQ$24-$I85 &lt;=5, (7-(AQ$24-$I85))/6, AND(AQ$24-$I85 =6,NOT(_xlfn.IFNA(ISNUMBER(SEARCH("Rending",$L85)),FALSE))), (7-(AQ$24-$I85))/6, AND(AQ$24-$I85 &gt;=7,NOT(_xlfn.IFNA(ISNUMBER(SEARCH("Rending",$L85)),FALSE))), 0, AQ$24-$I85 =7, (7-(AQ$24-1-$I85))/6, AQ$24-$I85 =8, (7-(AQ$24-2-$I85))/6*2/3, AQ$24-$I85 =9, (7-(AQ$24-3-$I85))/6*1/3, TRUE, 0) *
IF(ISNUMBER(SEARCH("Ordinance",$L85)),7/6,1) *
IF(OR(ISNUMBER(SEARCH("Melee",$L85)),ISNUMBER(SEARCH("Bypass",$L85))),1.5,1)</f>
        <v>0</v>
      </c>
    </row>
    <row r="86" spans="1:48" x14ac:dyDescent="0.3">
      <c r="V86" s="16">
        <f t="shared" si="20"/>
        <v>0</v>
      </c>
      <c r="W86" s="16">
        <f t="shared" si="21"/>
        <v>0</v>
      </c>
      <c r="X86" s="17" cm="1">
        <f t="array" ref="X86">$H86 *
IF(ISNUMBER(SEARCH("Rapid",$L86)),7/6,1) *
IF(OR(ISNUMBER(SEARCH("Beam",$L86)),ISNUMBER(SEARCH("Firestorm",$L86))),1, IF(ISNUMBER(SEARCH("Blast",$L86)),(4+$F86+(2-$F86)*0.5)/6*2,(4+$F86)/6)) *
IF(ISNUMBER(SEARCH("Fusion",$L86)), _xlfn.IFS(X$24-$I86 &lt;=1, 9/10, X$24-$I86 &lt;=10,(11-(X$24-$I86))/10, X$24-$I86 &gt;=11, 0),
_xlfn.IFS(X$24-$I86 &lt;=1, 5/6, X$24-$I86 &lt;=5, (7-(X$24-$I86))/6, AND(X$24-$I86 =6,NOT(_xlfn.IFNA(ISNUMBER(SEARCH("Rending",$L86)),FALSE))), (7-(X$24-$I86))/6, AND(X$24-$I86 &gt;=7,NOT(_xlfn.IFNA(ISNUMBER(SEARCH("Rending",$L86)),FALSE))), 0, X$24-$I86 =7, (7-(X$24-1-$I86))/6, X$24-$I86 =8, (7-(X$24-2-$I86))/6*2/3, X$24-$I86 =9, (7-(X$24-3-$I86))/6*1/3, TRUE, 0)) *
IF(ISNUMBER(SEARCH("Ordinance",$L86)),7/6,1) *
IF(OR(ISNUMBER(SEARCH("Melee",$L86)),ISNUMBER(SEARCH("Bypass",$L86))),1.5,1)</f>
        <v>0</v>
      </c>
      <c r="Y86" s="17" cm="1">
        <f t="array" ref="Y86">$H86 *
IF(ISNUMBER(SEARCH("Rapid",$L86)),7/6,1) *
IF(OR(ISNUMBER(SEARCH("Beam",$L86)),ISNUMBER(SEARCH("Firestorm",$L86))),1, IF(ISNUMBER(SEARCH("Blast",$L86)),(4+$F86+(2-$F86)*0.5)/6*2,(4+$F86)/6)) *
IF(ISNUMBER(SEARCH("Fusion",$L86)), _xlfn.IFS(Y$24-$I86 &lt;=1, 9/10, Y$24-$I86 &lt;=10,(11-(Y$24-$I86))/10, Y$24-$I86 &gt;=11, 0),
_xlfn.IFS(Y$24-$I86 &lt;=1, 5/6, Y$24-$I86 &lt;=5, (7-(Y$24-$I86))/6, AND(Y$24-$I86 =6,NOT(_xlfn.IFNA(ISNUMBER(SEARCH("Rending",$L86)),FALSE))), (7-(Y$24-$I86))/6, AND(Y$24-$I86 &gt;=7,NOT(_xlfn.IFNA(ISNUMBER(SEARCH("Rending",$L86)),FALSE))), 0, Y$24-$I86 =7, (7-(Y$24-1-$I86))/6, Y$24-$I86 =8, (7-(Y$24-2-$I86))/6*2/3, Y$24-$I86 =9, (7-(Y$24-3-$I86))/6*1/3, TRUE, 0)) *
IF(ISNUMBER(SEARCH("Ordinance",$L86)),7/6,1) *
IF(OR(ISNUMBER(SEARCH("Melee",$L86)),ISNUMBER(SEARCH("Bypass",$L86))),1.5,1)</f>
        <v>0</v>
      </c>
      <c r="Z86" s="17" cm="1">
        <f t="array" ref="Z86">$H86 *
IF(ISNUMBER(SEARCH("Rapid",$L86)),7/6,1) *
IF(OR(ISNUMBER(SEARCH("Beam",$L86)),ISNUMBER(SEARCH("Firestorm",$L86))),1, IF(ISNUMBER(SEARCH("Blast",$L86)),(4+$F86+(2-$F86)*0.5)/6*2,(4+$F86)/6)) *
IF(ISNUMBER(SEARCH("Fusion",$L86)), _xlfn.IFS(Z$24-$I86 &lt;=1, 9/10, Z$24-$I86 &lt;=10,(11-(Z$24-$I86))/10, Z$24-$I86 &gt;=11, 0),
_xlfn.IFS(Z$24-$I86 &lt;=1, 5/6, Z$24-$I86 &lt;=5, (7-(Z$24-$I86))/6, AND(Z$24-$I86 =6,NOT(_xlfn.IFNA(ISNUMBER(SEARCH("Rending",$L86)),FALSE))), (7-(Z$24-$I86))/6, AND(Z$24-$I86 &gt;=7,NOT(_xlfn.IFNA(ISNUMBER(SEARCH("Rending",$L86)),FALSE))), 0, Z$24-$I86 =7, (7-(Z$24-1-$I86))/6, Z$24-$I86 =8, (7-(Z$24-2-$I86))/6*2/3, Z$24-$I86 =9, (7-(Z$24-3-$I86))/6*1/3, TRUE, 0)) *
IF(ISNUMBER(SEARCH("Ordinance",$L86)),7/6,1) *
IF(OR(ISNUMBER(SEARCH("Melee",$L86)),ISNUMBER(SEARCH("Bypass",$L86))),1.5,1)</f>
        <v>0</v>
      </c>
      <c r="AA86" s="17" cm="1">
        <f t="array" ref="AA86">$H86 *
IF(ISNUMBER(SEARCH("Rapid",$L86)),7/6,1) *
IF(OR(ISNUMBER(SEARCH("Beam",$L86)),ISNUMBER(SEARCH("Firestorm",$L86))),1, IF(ISNUMBER(SEARCH("Blast",$L86)),(4+$F86+(2-$F86)*0.5)/6*2,(4+$F86)/6)) *
IF(ISNUMBER(SEARCH("Fusion",$L86)), _xlfn.IFS(AA$24-$I86 &lt;=1, 9/10, AA$24-$I86 &lt;=10,(11-(AA$24-$I86))/10, AA$24-$I86 &gt;=11, 0),
_xlfn.IFS(AA$24-$I86 &lt;=1, 5/6, AA$24-$I86 &lt;=5, (7-(AA$24-$I86))/6, AND(AA$24-$I86 =6,NOT(_xlfn.IFNA(ISNUMBER(SEARCH("Rending",$L86)),FALSE))), (7-(AA$24-$I86))/6, AND(AA$24-$I86 &gt;=7,NOT(_xlfn.IFNA(ISNUMBER(SEARCH("Rending",$L86)),FALSE))), 0, AA$24-$I86 =7, (7-(AA$24-1-$I86))/6, AA$24-$I86 =8, (7-(AA$24-2-$I86))/6*2/3, AA$24-$I86 =9, (7-(AA$24-3-$I86))/6*1/3, TRUE, 0)) *
IF(ISNUMBER(SEARCH("Ordinance",$L86)),7/6,1) *
IF(OR(ISNUMBER(SEARCH("Melee",$L86)),ISNUMBER(SEARCH("Bypass",$L86))),1.5,1)</f>
        <v>0</v>
      </c>
      <c r="AB86" s="17" cm="1">
        <f t="array" ref="AB86">$H86 *
IF(ISNUMBER(SEARCH("Rapid",$L86)),7/6,1) *
IF(OR(ISNUMBER(SEARCH("Beam",$L86)),ISNUMBER(SEARCH("Firestorm",$L86))),1, IF(ISNUMBER(SEARCH("Blast",$L86)),(4+$F86+(2-$F86)*0.5)/6*2,(4+$F86)/6)) *
IF(ISNUMBER(SEARCH("Fusion",$L86)), _xlfn.IFS(AB$24-$I86 &lt;=1, 9/10, AB$24-$I86 &lt;=10,(11-(AB$24-$I86))/10, AB$24-$I86 &gt;=11, 0),
_xlfn.IFS(AB$24-$I86 &lt;=1, 5/6, AB$24-$I86 &lt;=5, (7-(AB$24-$I86))/6, AND(AB$24-$I86 =6,NOT(_xlfn.IFNA(ISNUMBER(SEARCH("Rending",$L86)),FALSE))), (7-(AB$24-$I86))/6, AND(AB$24-$I86 &gt;=7,NOT(_xlfn.IFNA(ISNUMBER(SEARCH("Rending",$L86)),FALSE))), 0, AB$24-$I86 =7, (7-(AB$24-1-$I86))/6, AB$24-$I86 =8, (7-(AB$24-2-$I86))/6*2/3, AB$24-$I86 =9, (7-(AB$24-3-$I86))/6*1/3, TRUE, 0)) *
IF(ISNUMBER(SEARCH("Ordinance",$L86)),7/6,1) *
IF(OR(ISNUMBER(SEARCH("Melee",$L86)),ISNUMBER(SEARCH("Bypass",$L86))),1.5,1)</f>
        <v>0</v>
      </c>
      <c r="AC86" s="17" cm="1">
        <f t="array" ref="AC86">$H86 *
IF(ISNUMBER(SEARCH("Rapid",$L86)),7/6,1) *
IF(OR(ISNUMBER(SEARCH("Beam",$L86)),ISNUMBER(SEARCH("Firestorm",$L86))),1, IF(ISNUMBER(SEARCH("Blast",$L86)),(4+$F86+(2-$F86)*0.5)/6*2,(4+$F86)/6)) *
IF(ISNUMBER(SEARCH("Fusion",$L86)), _xlfn.IFS(AC$24-$I86 &lt;=1, 9/10, AC$24-$I86 &lt;=10,(11-(AC$24-$I86))/10, AC$24-$I86 &gt;=11, 0),
_xlfn.IFS(AC$24-$I86 &lt;=1, 5/6, AC$24-$I86 &lt;=5, (7-(AC$24-$I86))/6, AND(AC$24-$I86 =6,NOT(_xlfn.IFNA(ISNUMBER(SEARCH("Rending",$L86)),FALSE))), (7-(AC$24-$I86))/6, AND(AC$24-$I86 &gt;=7,NOT(_xlfn.IFNA(ISNUMBER(SEARCH("Rending",$L86)),FALSE))), 0, AC$24-$I86 =7, (7-(AC$24-1-$I86))/6, AC$24-$I86 =8, (7-(AC$24-2-$I86))/6*2/3, AC$24-$I86 =9, (7-(AC$24-3-$I86))/6*1/3, TRUE, 0)) *
IF(ISNUMBER(SEARCH("Ordinance",$L86)),7/6,1) *
IF(OR(ISNUMBER(SEARCH("Melee",$L86)),ISNUMBER(SEARCH("Bypass",$L86))),1.5,1)</f>
        <v>0</v>
      </c>
      <c r="AD86" s="17" cm="1">
        <f t="array" ref="AD86">$H86 *
IF(ISNUMBER(SEARCH("Rapid",$L86)),7/6,1) *
IF(OR(ISNUMBER(SEARCH("Beam",$L86)),ISNUMBER(SEARCH("Firestorm",$L86))),1, IF(ISNUMBER(SEARCH("Blast",$L86)),(4+$F86+(2-$F86)*0.5)/6*2,(4+$F86)/6)) *
IF(ISNUMBER(SEARCH("Fusion",$L86)), _xlfn.IFS(AD$24-$I86 &lt;=1, 9/10, AD$24-$I86 &lt;=10,(11-(AD$24-$I86))/10, AD$24-$I86 &gt;=11, 0),
_xlfn.IFS(AD$24-$I86 &lt;=1, 5/6, AD$24-$I86 &lt;=5, (7-(AD$24-$I86))/6, AND(AD$24-$I86 =6,NOT(_xlfn.IFNA(ISNUMBER(SEARCH("Rending",$L86)),FALSE))), (7-(AD$24-$I86))/6, AND(AD$24-$I86 &gt;=7,NOT(_xlfn.IFNA(ISNUMBER(SEARCH("Rending",$L86)),FALSE))), 0, AD$24-$I86 =7, (7-(AD$24-1-$I86))/6, AD$24-$I86 =8, (7-(AD$24-2-$I86))/6*2/3, AD$24-$I86 =9, (7-(AD$24-3-$I86))/6*1/3, TRUE, 0)) *
IF(ISNUMBER(SEARCH("Ordinance",$L86)),7/6,1) *
IF(OR(ISNUMBER(SEARCH("Melee",$L86)),ISNUMBER(SEARCH("Bypass",$L86))),1.5,1)</f>
        <v>0</v>
      </c>
      <c r="AE86" s="17" cm="1">
        <f t="array" ref="AE86">$H86 *
IF(ISNUMBER(SEARCH("Rapid",$L86)),7/6,1) *
IF(OR(ISNUMBER(SEARCH("Beam",$L86)),ISNUMBER(SEARCH("Firestorm",$L86))),1, IF(ISNUMBER(SEARCH("Blast",$L86)),(4+$F86+(2-$F86)*0.5)/6*2,(4+$F86)/6)) *
IF(ISNUMBER(SEARCH("Fusion",$L86)), _xlfn.IFS(AE$24-$I86 &lt;=1, 9/10, AE$24-$I86 &lt;=10,(11-(AE$24-$I86))/10, AE$24-$I86 &gt;=11, 0),
_xlfn.IFS(AE$24-$I86 &lt;=1, 5/6, AE$24-$I86 &lt;=5, (7-(AE$24-$I86))/6, AND(AE$24-$I86 =6,NOT(_xlfn.IFNA(ISNUMBER(SEARCH("Rending",$L86)),FALSE))), (7-(AE$24-$I86))/6, AND(AE$24-$I86 &gt;=7,NOT(_xlfn.IFNA(ISNUMBER(SEARCH("Rending",$L86)),FALSE))), 0, AE$24-$I86 =7, (7-(AE$24-1-$I86))/6, AE$24-$I86 =8, (7-(AE$24-2-$I86))/6*2/3, AE$24-$I86 =9, (7-(AE$24-3-$I86))/6*1/3, TRUE, 0)) *
IF(ISNUMBER(SEARCH("Ordinance",$L86)),7/6,1) *
IF(OR(ISNUMBER(SEARCH("Melee",$L86)),ISNUMBER(SEARCH("Bypass",$L86))),1.5,1)</f>
        <v>0</v>
      </c>
      <c r="AF86" s="17" cm="1">
        <f t="array" ref="AF86">$H86 *
IF(ISNUMBER(SEARCH("Rapid",$L86)),7/6,1) *
IF(OR(ISNUMBER(SEARCH("Beam",$L86)),ISNUMBER(SEARCH("Firestorm",$L86))),1, IF(ISNUMBER(SEARCH("Blast",$L86)),(4+$F86+(2-$F86)*0.5)/6*2,(4+$F86)/6)) *
IF(ISNUMBER(SEARCH("Fusion",$L86)), _xlfn.IFS(AF$24-$I86 &lt;=1, 9/10, AF$24-$I86 &lt;=10,(11-(AF$24-$I86))/10, AF$24-$I86 &gt;=11, 0),
_xlfn.IFS(AF$24-$I86 &lt;=1, 5/6, AF$24-$I86 &lt;=5, (7-(AF$24-$I86))/6, AND(AF$24-$I86 =6,NOT(_xlfn.IFNA(ISNUMBER(SEARCH("Rending",$L86)),FALSE))), (7-(AF$24-$I86))/6, AND(AF$24-$I86 &gt;=7,NOT(_xlfn.IFNA(ISNUMBER(SEARCH("Rending",$L86)),FALSE))), 0, AF$24-$I86 =7, (7-(AF$24-1-$I86))/6, AF$24-$I86 =8, (7-(AF$24-2-$I86))/6*2/3, AF$24-$I86 =9, (7-(AF$24-3-$I86))/6*1/3, TRUE, 0)) *
IF(ISNUMBER(SEARCH("Ordinance",$L86)),7/6,1) *
IF(OR(ISNUMBER(SEARCH("Melee",$L86)),ISNUMBER(SEARCH("Bypass",$L86))),1.5,1)</f>
        <v>0</v>
      </c>
      <c r="AG86" s="16">
        <f t="shared" si="22"/>
        <v>0</v>
      </c>
      <c r="AH86" s="16">
        <f t="shared" si="23"/>
        <v>0</v>
      </c>
      <c r="AI86" s="17" cm="1">
        <f t="array" ref="AI86">$H86 *
IF(ISNUMBER(SEARCH("Rapid",$L86)),7/6,1) *
IF(OR(ISNUMBER(SEARCH("Beam",$L86)),ISNUMBER(SEARCH("Firestorm",$L86))),1, IF(ISNUMBER(SEARCH("Blast",$L86)),(4+$G86+(2-$G86)*0.5)/6*2,(4+$G86)/6)) *
_xlfn.IFS(AI$24-$I86 &lt;=1, 5/6, AI$24-$I86 &lt;=5, (7-(AI$24-$I86))/6, AND(AI$24-$I86 =6,NOT(_xlfn.IFNA(ISNUMBER(SEARCH("Rending",$L86)),FALSE))), (7-(AI$24-$I86))/6, AND(AI$24-$I86 &gt;=7,NOT(_xlfn.IFNA(ISNUMBER(SEARCH("Rending",$L86)),FALSE))), 0, AI$24-$I86 =7, (7-(AI$24-1-$I86))/6, AI$24-$I86 =8, (7-(AI$24-2-$I86))/6*2/3, AI$24-$I86 =9, (7-(AI$24-3-$I86))/6*1/3, TRUE, 0) *
IF(ISNUMBER(SEARCH("Ordinance",$L86)),7/6,1) *
IF(OR(ISNUMBER(SEARCH("Melee",$L86)),ISNUMBER(SEARCH("Bypass",$L86))),1.5,1)</f>
        <v>0</v>
      </c>
      <c r="AJ86" s="17" cm="1">
        <f t="array" ref="AJ86">$H86 *
IF(ISNUMBER(SEARCH("Rapid",$L86)),7/6,1) *
IF(OR(ISNUMBER(SEARCH("Beam",$L86)),ISNUMBER(SEARCH("Firestorm",$L86))),1, IF(ISNUMBER(SEARCH("Blast",$L86)),(4+$G86+(2-$G86)*0.5)/6*2,(4+$G86)/6)) *
_xlfn.IFS(AJ$24-$I86 &lt;=1, 5/6, AJ$24-$I86 &lt;=5, (7-(AJ$24-$I86))/6, AND(AJ$24-$I86 =6,NOT(_xlfn.IFNA(ISNUMBER(SEARCH("Rending",$L86)),FALSE))), (7-(AJ$24-$I86))/6, AND(AJ$24-$I86 &gt;=7,NOT(_xlfn.IFNA(ISNUMBER(SEARCH("Rending",$L86)),FALSE))), 0, AJ$24-$I86 =7, (7-(AJ$24-1-$I86))/6, AJ$24-$I86 =8, (7-(AJ$24-2-$I86))/6*2/3, AJ$24-$I86 =9, (7-(AJ$24-3-$I86))/6*1/3, TRUE, 0) *
IF(ISNUMBER(SEARCH("Ordinance",$L86)),7/6,1) *
IF(OR(ISNUMBER(SEARCH("Melee",$L86)),ISNUMBER(SEARCH("Bypass",$L86))),1.5,1)</f>
        <v>0</v>
      </c>
      <c r="AK86" s="17" cm="1">
        <f t="array" ref="AK86">$H86 *
IF(ISNUMBER(SEARCH("Rapid",$L86)),7/6,1) *
IF(OR(ISNUMBER(SEARCH("Beam",$L86)),ISNUMBER(SEARCH("Firestorm",$L86))),1, IF(ISNUMBER(SEARCH("Blast",$L86)),(4+$G86+(2-$G86)*0.5)/6*2,(4+$G86)/6)) *
_xlfn.IFS(AK$24-$I86 &lt;=1, 5/6, AK$24-$I86 &lt;=5, (7-(AK$24-$I86))/6, AND(AK$24-$I86 =6,NOT(_xlfn.IFNA(ISNUMBER(SEARCH("Rending",$L86)),FALSE))), (7-(AK$24-$I86))/6, AND(AK$24-$I86 &gt;=7,NOT(_xlfn.IFNA(ISNUMBER(SEARCH("Rending",$L86)),FALSE))), 0, AK$24-$I86 =7, (7-(AK$24-1-$I86))/6, AK$24-$I86 =8, (7-(AK$24-2-$I86))/6*2/3, AK$24-$I86 =9, (7-(AK$24-3-$I86))/6*1/3, TRUE, 0) *
IF(ISNUMBER(SEARCH("Ordinance",$L86)),7/6,1) *
IF(OR(ISNUMBER(SEARCH("Melee",$L86)),ISNUMBER(SEARCH("Bypass",$L86))),1.5,1)</f>
        <v>0</v>
      </c>
      <c r="AL86" s="17" cm="1">
        <f t="array" ref="AL86">$H86 *
IF(ISNUMBER(SEARCH("Rapid",$L86)),7/6,1) *
IF(OR(ISNUMBER(SEARCH("Beam",$L86)),ISNUMBER(SEARCH("Firestorm",$L86))),1, IF(ISNUMBER(SEARCH("Blast",$L86)),(4+$G86+(2-$G86)*0.5)/6*2,(4+$G86)/6)) *
_xlfn.IFS(AL$24-$I86 &lt;=1, 5/6, AL$24-$I86 &lt;=5, (7-(AL$24-$I86))/6, AND(AL$24-$I86 =6,NOT(_xlfn.IFNA(ISNUMBER(SEARCH("Rending",$L86)),FALSE))), (7-(AL$24-$I86))/6, AND(AL$24-$I86 &gt;=7,NOT(_xlfn.IFNA(ISNUMBER(SEARCH("Rending",$L86)),FALSE))), 0, AL$24-$I86 =7, (7-(AL$24-1-$I86))/6, AL$24-$I86 =8, (7-(AL$24-2-$I86))/6*2/3, AL$24-$I86 =9, (7-(AL$24-3-$I86))/6*1/3, TRUE, 0) *
IF(ISNUMBER(SEARCH("Ordinance",$L86)),7/6,1) *
IF(OR(ISNUMBER(SEARCH("Melee",$L86)),ISNUMBER(SEARCH("Bypass",$L86))),1.5,1)</f>
        <v>0</v>
      </c>
      <c r="AM86" s="17" cm="1">
        <f t="array" ref="AM86">$H86 *
IF(ISNUMBER(SEARCH("Rapid",$L86)),7/6,1) *
IF(OR(ISNUMBER(SEARCH("Beam",$L86)),ISNUMBER(SEARCH("Firestorm",$L86))),1, IF(ISNUMBER(SEARCH("Blast",$L86)),(4+$G86+(2-$G86)*0.5)/6*2,(4+$G86)/6)) *
_xlfn.IFS(AM$24-$I86 &lt;=1, 5/6, AM$24-$I86 &lt;=5, (7-(AM$24-$I86))/6, AND(AM$24-$I86 =6,NOT(_xlfn.IFNA(ISNUMBER(SEARCH("Rending",$L86)),FALSE))), (7-(AM$24-$I86))/6, AND(AM$24-$I86 &gt;=7,NOT(_xlfn.IFNA(ISNUMBER(SEARCH("Rending",$L86)),FALSE))), 0, AM$24-$I86 =7, (7-(AM$24-1-$I86))/6, AM$24-$I86 =8, (7-(AM$24-2-$I86))/6*2/3, AM$24-$I86 =9, (7-(AM$24-3-$I86))/6*1/3, TRUE, 0) *
IF(ISNUMBER(SEARCH("Ordinance",$L86)),7/6,1) *
IF(OR(ISNUMBER(SEARCH("Melee",$L86)),ISNUMBER(SEARCH("Bypass",$L86))),1.5,1)</f>
        <v>0</v>
      </c>
      <c r="AN86" s="17" cm="1">
        <f t="array" ref="AN86">$H86 *
IF(ISNUMBER(SEARCH("Rapid",$L86)),7/6,1) *
IF(OR(ISNUMBER(SEARCH("Beam",$L86)),ISNUMBER(SEARCH("Firestorm",$L86))),1, IF(ISNUMBER(SEARCH("Blast",$L86)),(4+$G86+(2-$G86)*0.5)/6*2,(4+$G86)/6)) *
_xlfn.IFS(AN$24-$I86 &lt;=1, 5/6, AN$24-$I86 &lt;=5, (7-(AN$24-$I86))/6, AND(AN$24-$I86 =6,NOT(_xlfn.IFNA(ISNUMBER(SEARCH("Rending",$L86)),FALSE))), (7-(AN$24-$I86))/6, AND(AN$24-$I86 &gt;=7,NOT(_xlfn.IFNA(ISNUMBER(SEARCH("Rending",$L86)),FALSE))), 0, AN$24-$I86 =7, (7-(AN$24-1-$I86))/6, AN$24-$I86 =8, (7-(AN$24-2-$I86))/6*2/3, AN$24-$I86 =9, (7-(AN$24-3-$I86))/6*1/3, TRUE, 0) *
IF(ISNUMBER(SEARCH("Ordinance",$L86)),7/6,1) *
IF(OR(ISNUMBER(SEARCH("Melee",$L86)),ISNUMBER(SEARCH("Bypass",$L86))),1.5,1)</f>
        <v>0</v>
      </c>
      <c r="AO86" s="17" cm="1">
        <f t="array" ref="AO86">$H86 *
IF(ISNUMBER(SEARCH("Rapid",$L86)),7/6,1) *
IF(OR(ISNUMBER(SEARCH("Beam",$L86)),ISNUMBER(SEARCH("Firestorm",$L86))),1, IF(ISNUMBER(SEARCH("Blast",$L86)),(4+$G86+(2-$G86)*0.5)/6*2,(4+$G86)/6)) *
_xlfn.IFS(AO$24-$I86 &lt;=1, 5/6, AO$24-$I86 &lt;=5, (7-(AO$24-$I86))/6, AND(AO$24-$I86 =6,NOT(_xlfn.IFNA(ISNUMBER(SEARCH("Rending",$L86)),FALSE))), (7-(AO$24-$I86))/6, AND(AO$24-$I86 &gt;=7,NOT(_xlfn.IFNA(ISNUMBER(SEARCH("Rending",$L86)),FALSE))), 0, AO$24-$I86 =7, (7-(AO$24-1-$I86))/6, AO$24-$I86 =8, (7-(AO$24-2-$I86))/6*2/3, AO$24-$I86 =9, (7-(AO$24-3-$I86))/6*1/3, TRUE, 0) *
IF(ISNUMBER(SEARCH("Ordinance",$L86)),7/6,1) *
IF(OR(ISNUMBER(SEARCH("Melee",$L86)),ISNUMBER(SEARCH("Bypass",$L86))),1.5,1)</f>
        <v>0</v>
      </c>
      <c r="AP86" s="17" cm="1">
        <f t="array" ref="AP86">$H86 *
IF(ISNUMBER(SEARCH("Rapid",$L86)),7/6,1) *
IF(OR(ISNUMBER(SEARCH("Beam",$L86)),ISNUMBER(SEARCH("Firestorm",$L86))),1, IF(ISNUMBER(SEARCH("Blast",$L86)),(4+$G86+(2-$G86)*0.5)/6*2,(4+$G86)/6)) *
_xlfn.IFS(AP$24-$I86 &lt;=1, 5/6, AP$24-$I86 &lt;=5, (7-(AP$24-$I86))/6, AND(AP$24-$I86 =6,NOT(_xlfn.IFNA(ISNUMBER(SEARCH("Rending",$L86)),FALSE))), (7-(AP$24-$I86))/6, AND(AP$24-$I86 &gt;=7,NOT(_xlfn.IFNA(ISNUMBER(SEARCH("Rending",$L86)),FALSE))), 0, AP$24-$I86 =7, (7-(AP$24-1-$I86))/6, AP$24-$I86 =8, (7-(AP$24-2-$I86))/6*2/3, AP$24-$I86 =9, (7-(AP$24-3-$I86))/6*1/3, TRUE, 0) *
IF(ISNUMBER(SEARCH("Ordinance",$L86)),7/6,1) *
IF(OR(ISNUMBER(SEARCH("Melee",$L86)),ISNUMBER(SEARCH("Bypass",$L86))),1.5,1)</f>
        <v>0</v>
      </c>
      <c r="AQ86" s="17" cm="1">
        <f t="array" ref="AQ86">$H86 *
IF(ISNUMBER(SEARCH("Rapid",$L86)),7/6,1) *
IF(OR(ISNUMBER(SEARCH("Beam",$L86)),ISNUMBER(SEARCH("Firestorm",$L86))),1, IF(ISNUMBER(SEARCH("Blast",$L86)),(4+$G86+(2-$G86)*0.5)/6*2,(4+$G86)/6)) *
_xlfn.IFS(AQ$24-$I86 &lt;=1, 5/6, AQ$24-$I86 &lt;=5, (7-(AQ$24-$I86))/6, AND(AQ$24-$I86 =6,NOT(_xlfn.IFNA(ISNUMBER(SEARCH("Rending",$L86)),FALSE))), (7-(AQ$24-$I86))/6, AND(AQ$24-$I86 &gt;=7,NOT(_xlfn.IFNA(ISNUMBER(SEARCH("Rending",$L86)),FALSE))), 0, AQ$24-$I86 =7, (7-(AQ$24-1-$I86))/6, AQ$24-$I86 =8, (7-(AQ$24-2-$I86))/6*2/3, AQ$24-$I86 =9, (7-(AQ$24-3-$I86))/6*1/3, TRUE, 0) *
IF(ISNUMBER(SEARCH("Ordinance",$L86)),7/6,1) *
IF(OR(ISNUMBER(SEARCH("Melee",$L86)),ISNUMBER(SEARCH("Bypass",$L86))),1.5,1)</f>
        <v>0</v>
      </c>
    </row>
    <row r="87" spans="1:48" x14ac:dyDescent="0.3">
      <c r="A87" s="6" t="s">
        <v>237</v>
      </c>
      <c r="V87" s="16">
        <f t="shared" si="20"/>
        <v>0</v>
      </c>
      <c r="W87" s="16">
        <f t="shared" si="21"/>
        <v>0</v>
      </c>
      <c r="X87" s="17" cm="1">
        <f t="array" ref="X87">$H87 *
IF(ISNUMBER(SEARCH("Rapid",$L87)),7/6,1) *
IF(OR(ISNUMBER(SEARCH("Beam",$L87)),ISNUMBER(SEARCH("Firestorm",$L87))),1, IF(ISNUMBER(SEARCH("Blast",$L87)),(4+$F87+(2-$F87)*0.5)/6*2,(4+$F87)/6)) *
IF(ISNUMBER(SEARCH("Fusion",$L87)), _xlfn.IFS(X$24-$I87 &lt;=1, 9/10, X$24-$I87 &lt;=10,(11-(X$24-$I87))/10, X$24-$I87 &gt;=11, 0),
_xlfn.IFS(X$24-$I87 &lt;=1, 5/6, X$24-$I87 &lt;=5, (7-(X$24-$I87))/6, AND(X$24-$I87 =6,NOT(_xlfn.IFNA(ISNUMBER(SEARCH("Rending",$L87)),FALSE))), (7-(X$24-$I87))/6, AND(X$24-$I87 &gt;=7,NOT(_xlfn.IFNA(ISNUMBER(SEARCH("Rending",$L87)),FALSE))), 0, X$24-$I87 =7, (7-(X$24-1-$I87))/6, X$24-$I87 =8, (7-(X$24-2-$I87))/6*2/3, X$24-$I87 =9, (7-(X$24-3-$I87))/6*1/3, TRUE, 0)) *
IF(ISNUMBER(SEARCH("Ordinance",$L87)),7/6,1) *
IF(OR(ISNUMBER(SEARCH("Melee",$L87)),ISNUMBER(SEARCH("Bypass",$L87))),1.5,1)</f>
        <v>0</v>
      </c>
      <c r="Y87" s="17" cm="1">
        <f t="array" ref="Y87">$H87 *
IF(ISNUMBER(SEARCH("Rapid",$L87)),7/6,1) *
IF(OR(ISNUMBER(SEARCH("Beam",$L87)),ISNUMBER(SEARCH("Firestorm",$L87))),1, IF(ISNUMBER(SEARCH("Blast",$L87)),(4+$F87+(2-$F87)*0.5)/6*2,(4+$F87)/6)) *
IF(ISNUMBER(SEARCH("Fusion",$L87)), _xlfn.IFS(Y$24-$I87 &lt;=1, 9/10, Y$24-$I87 &lt;=10,(11-(Y$24-$I87))/10, Y$24-$I87 &gt;=11, 0),
_xlfn.IFS(Y$24-$I87 &lt;=1, 5/6, Y$24-$I87 &lt;=5, (7-(Y$24-$I87))/6, AND(Y$24-$I87 =6,NOT(_xlfn.IFNA(ISNUMBER(SEARCH("Rending",$L87)),FALSE))), (7-(Y$24-$I87))/6, AND(Y$24-$I87 &gt;=7,NOT(_xlfn.IFNA(ISNUMBER(SEARCH("Rending",$L87)),FALSE))), 0, Y$24-$I87 =7, (7-(Y$24-1-$I87))/6, Y$24-$I87 =8, (7-(Y$24-2-$I87))/6*2/3, Y$24-$I87 =9, (7-(Y$24-3-$I87))/6*1/3, TRUE, 0)) *
IF(ISNUMBER(SEARCH("Ordinance",$L87)),7/6,1) *
IF(OR(ISNUMBER(SEARCH("Melee",$L87)),ISNUMBER(SEARCH("Bypass",$L87))),1.5,1)</f>
        <v>0</v>
      </c>
      <c r="Z87" s="17" cm="1">
        <f t="array" ref="Z87">$H87 *
IF(ISNUMBER(SEARCH("Rapid",$L87)),7/6,1) *
IF(OR(ISNUMBER(SEARCH("Beam",$L87)),ISNUMBER(SEARCH("Firestorm",$L87))),1, IF(ISNUMBER(SEARCH("Blast",$L87)),(4+$F87+(2-$F87)*0.5)/6*2,(4+$F87)/6)) *
IF(ISNUMBER(SEARCH("Fusion",$L87)), _xlfn.IFS(Z$24-$I87 &lt;=1, 9/10, Z$24-$I87 &lt;=10,(11-(Z$24-$I87))/10, Z$24-$I87 &gt;=11, 0),
_xlfn.IFS(Z$24-$I87 &lt;=1, 5/6, Z$24-$I87 &lt;=5, (7-(Z$24-$I87))/6, AND(Z$24-$I87 =6,NOT(_xlfn.IFNA(ISNUMBER(SEARCH("Rending",$L87)),FALSE))), (7-(Z$24-$I87))/6, AND(Z$24-$I87 &gt;=7,NOT(_xlfn.IFNA(ISNUMBER(SEARCH("Rending",$L87)),FALSE))), 0, Z$24-$I87 =7, (7-(Z$24-1-$I87))/6, Z$24-$I87 =8, (7-(Z$24-2-$I87))/6*2/3, Z$24-$I87 =9, (7-(Z$24-3-$I87))/6*1/3, TRUE, 0)) *
IF(ISNUMBER(SEARCH("Ordinance",$L87)),7/6,1) *
IF(OR(ISNUMBER(SEARCH("Melee",$L87)),ISNUMBER(SEARCH("Bypass",$L87))),1.5,1)</f>
        <v>0</v>
      </c>
      <c r="AA87" s="17" cm="1">
        <f t="array" ref="AA87">$H87 *
IF(ISNUMBER(SEARCH("Rapid",$L87)),7/6,1) *
IF(OR(ISNUMBER(SEARCH("Beam",$L87)),ISNUMBER(SEARCH("Firestorm",$L87))),1, IF(ISNUMBER(SEARCH("Blast",$L87)),(4+$F87+(2-$F87)*0.5)/6*2,(4+$F87)/6)) *
IF(ISNUMBER(SEARCH("Fusion",$L87)), _xlfn.IFS(AA$24-$I87 &lt;=1, 9/10, AA$24-$I87 &lt;=10,(11-(AA$24-$I87))/10, AA$24-$I87 &gt;=11, 0),
_xlfn.IFS(AA$24-$I87 &lt;=1, 5/6, AA$24-$I87 &lt;=5, (7-(AA$24-$I87))/6, AND(AA$24-$I87 =6,NOT(_xlfn.IFNA(ISNUMBER(SEARCH("Rending",$L87)),FALSE))), (7-(AA$24-$I87))/6, AND(AA$24-$I87 &gt;=7,NOT(_xlfn.IFNA(ISNUMBER(SEARCH("Rending",$L87)),FALSE))), 0, AA$24-$I87 =7, (7-(AA$24-1-$I87))/6, AA$24-$I87 =8, (7-(AA$24-2-$I87))/6*2/3, AA$24-$I87 =9, (7-(AA$24-3-$I87))/6*1/3, TRUE, 0)) *
IF(ISNUMBER(SEARCH("Ordinance",$L87)),7/6,1) *
IF(OR(ISNUMBER(SEARCH("Melee",$L87)),ISNUMBER(SEARCH("Bypass",$L87))),1.5,1)</f>
        <v>0</v>
      </c>
      <c r="AB87" s="17" cm="1">
        <f t="array" ref="AB87">$H87 *
IF(ISNUMBER(SEARCH("Rapid",$L87)),7/6,1) *
IF(OR(ISNUMBER(SEARCH("Beam",$L87)),ISNUMBER(SEARCH("Firestorm",$L87))),1, IF(ISNUMBER(SEARCH("Blast",$L87)),(4+$F87+(2-$F87)*0.5)/6*2,(4+$F87)/6)) *
IF(ISNUMBER(SEARCH("Fusion",$L87)), _xlfn.IFS(AB$24-$I87 &lt;=1, 9/10, AB$24-$I87 &lt;=10,(11-(AB$24-$I87))/10, AB$24-$I87 &gt;=11, 0),
_xlfn.IFS(AB$24-$I87 &lt;=1, 5/6, AB$24-$I87 &lt;=5, (7-(AB$24-$I87))/6, AND(AB$24-$I87 =6,NOT(_xlfn.IFNA(ISNUMBER(SEARCH("Rending",$L87)),FALSE))), (7-(AB$24-$I87))/6, AND(AB$24-$I87 &gt;=7,NOT(_xlfn.IFNA(ISNUMBER(SEARCH("Rending",$L87)),FALSE))), 0, AB$24-$I87 =7, (7-(AB$24-1-$I87))/6, AB$24-$I87 =8, (7-(AB$24-2-$I87))/6*2/3, AB$24-$I87 =9, (7-(AB$24-3-$I87))/6*1/3, TRUE, 0)) *
IF(ISNUMBER(SEARCH("Ordinance",$L87)),7/6,1) *
IF(OR(ISNUMBER(SEARCH("Melee",$L87)),ISNUMBER(SEARCH("Bypass",$L87))),1.5,1)</f>
        <v>0</v>
      </c>
      <c r="AC87" s="17" cm="1">
        <f t="array" ref="AC87">$H87 *
IF(ISNUMBER(SEARCH("Rapid",$L87)),7/6,1) *
IF(OR(ISNUMBER(SEARCH("Beam",$L87)),ISNUMBER(SEARCH("Firestorm",$L87))),1, IF(ISNUMBER(SEARCH("Blast",$L87)),(4+$F87+(2-$F87)*0.5)/6*2,(4+$F87)/6)) *
IF(ISNUMBER(SEARCH("Fusion",$L87)), _xlfn.IFS(AC$24-$I87 &lt;=1, 9/10, AC$24-$I87 &lt;=10,(11-(AC$24-$I87))/10, AC$24-$I87 &gt;=11, 0),
_xlfn.IFS(AC$24-$I87 &lt;=1, 5/6, AC$24-$I87 &lt;=5, (7-(AC$24-$I87))/6, AND(AC$24-$I87 =6,NOT(_xlfn.IFNA(ISNUMBER(SEARCH("Rending",$L87)),FALSE))), (7-(AC$24-$I87))/6, AND(AC$24-$I87 &gt;=7,NOT(_xlfn.IFNA(ISNUMBER(SEARCH("Rending",$L87)),FALSE))), 0, AC$24-$I87 =7, (7-(AC$24-1-$I87))/6, AC$24-$I87 =8, (7-(AC$24-2-$I87))/6*2/3, AC$24-$I87 =9, (7-(AC$24-3-$I87))/6*1/3, TRUE, 0)) *
IF(ISNUMBER(SEARCH("Ordinance",$L87)),7/6,1) *
IF(OR(ISNUMBER(SEARCH("Melee",$L87)),ISNUMBER(SEARCH("Bypass",$L87))),1.5,1)</f>
        <v>0</v>
      </c>
      <c r="AD87" s="17" cm="1">
        <f t="array" ref="AD87">$H87 *
IF(ISNUMBER(SEARCH("Rapid",$L87)),7/6,1) *
IF(OR(ISNUMBER(SEARCH("Beam",$L87)),ISNUMBER(SEARCH("Firestorm",$L87))),1, IF(ISNUMBER(SEARCH("Blast",$L87)),(4+$F87+(2-$F87)*0.5)/6*2,(4+$F87)/6)) *
IF(ISNUMBER(SEARCH("Fusion",$L87)), _xlfn.IFS(AD$24-$I87 &lt;=1, 9/10, AD$24-$I87 &lt;=10,(11-(AD$24-$I87))/10, AD$24-$I87 &gt;=11, 0),
_xlfn.IFS(AD$24-$I87 &lt;=1, 5/6, AD$24-$I87 &lt;=5, (7-(AD$24-$I87))/6, AND(AD$24-$I87 =6,NOT(_xlfn.IFNA(ISNUMBER(SEARCH("Rending",$L87)),FALSE))), (7-(AD$24-$I87))/6, AND(AD$24-$I87 &gt;=7,NOT(_xlfn.IFNA(ISNUMBER(SEARCH("Rending",$L87)),FALSE))), 0, AD$24-$I87 =7, (7-(AD$24-1-$I87))/6, AD$24-$I87 =8, (7-(AD$24-2-$I87))/6*2/3, AD$24-$I87 =9, (7-(AD$24-3-$I87))/6*1/3, TRUE, 0)) *
IF(ISNUMBER(SEARCH("Ordinance",$L87)),7/6,1) *
IF(OR(ISNUMBER(SEARCH("Melee",$L87)),ISNUMBER(SEARCH("Bypass",$L87))),1.5,1)</f>
        <v>0</v>
      </c>
      <c r="AE87" s="17" cm="1">
        <f t="array" ref="AE87">$H87 *
IF(ISNUMBER(SEARCH("Rapid",$L87)),7/6,1) *
IF(OR(ISNUMBER(SEARCH("Beam",$L87)),ISNUMBER(SEARCH("Firestorm",$L87))),1, IF(ISNUMBER(SEARCH("Blast",$L87)),(4+$F87+(2-$F87)*0.5)/6*2,(4+$F87)/6)) *
IF(ISNUMBER(SEARCH("Fusion",$L87)), _xlfn.IFS(AE$24-$I87 &lt;=1, 9/10, AE$24-$I87 &lt;=10,(11-(AE$24-$I87))/10, AE$24-$I87 &gt;=11, 0),
_xlfn.IFS(AE$24-$I87 &lt;=1, 5/6, AE$24-$I87 &lt;=5, (7-(AE$24-$I87))/6, AND(AE$24-$I87 =6,NOT(_xlfn.IFNA(ISNUMBER(SEARCH("Rending",$L87)),FALSE))), (7-(AE$24-$I87))/6, AND(AE$24-$I87 &gt;=7,NOT(_xlfn.IFNA(ISNUMBER(SEARCH("Rending",$L87)),FALSE))), 0, AE$24-$I87 =7, (7-(AE$24-1-$I87))/6, AE$24-$I87 =8, (7-(AE$24-2-$I87))/6*2/3, AE$24-$I87 =9, (7-(AE$24-3-$I87))/6*1/3, TRUE, 0)) *
IF(ISNUMBER(SEARCH("Ordinance",$L87)),7/6,1) *
IF(OR(ISNUMBER(SEARCH("Melee",$L87)),ISNUMBER(SEARCH("Bypass",$L87))),1.5,1)</f>
        <v>0</v>
      </c>
      <c r="AF87" s="17" cm="1">
        <f t="array" ref="AF87">$H87 *
IF(ISNUMBER(SEARCH("Rapid",$L87)),7/6,1) *
IF(OR(ISNUMBER(SEARCH("Beam",$L87)),ISNUMBER(SEARCH("Firestorm",$L87))),1, IF(ISNUMBER(SEARCH("Blast",$L87)),(4+$F87+(2-$F87)*0.5)/6*2,(4+$F87)/6)) *
IF(ISNUMBER(SEARCH("Fusion",$L87)), _xlfn.IFS(AF$24-$I87 &lt;=1, 9/10, AF$24-$I87 &lt;=10,(11-(AF$24-$I87))/10, AF$24-$I87 &gt;=11, 0),
_xlfn.IFS(AF$24-$I87 &lt;=1, 5/6, AF$24-$I87 &lt;=5, (7-(AF$24-$I87))/6, AND(AF$24-$I87 =6,NOT(_xlfn.IFNA(ISNUMBER(SEARCH("Rending",$L87)),FALSE))), (7-(AF$24-$I87))/6, AND(AF$24-$I87 &gt;=7,NOT(_xlfn.IFNA(ISNUMBER(SEARCH("Rending",$L87)),FALSE))), 0, AF$24-$I87 =7, (7-(AF$24-1-$I87))/6, AF$24-$I87 =8, (7-(AF$24-2-$I87))/6*2/3, AF$24-$I87 =9, (7-(AF$24-3-$I87))/6*1/3, TRUE, 0)) *
IF(ISNUMBER(SEARCH("Ordinance",$L87)),7/6,1) *
IF(OR(ISNUMBER(SEARCH("Melee",$L87)),ISNUMBER(SEARCH("Bypass",$L87))),1.5,1)</f>
        <v>0</v>
      </c>
      <c r="AG87" s="16">
        <f t="shared" si="22"/>
        <v>0</v>
      </c>
      <c r="AH87" s="16">
        <f t="shared" si="23"/>
        <v>0</v>
      </c>
      <c r="AI87" s="17" cm="1">
        <f t="array" ref="AI87">$H87 *
IF(ISNUMBER(SEARCH("Rapid",$L87)),7/6,1) *
IF(OR(ISNUMBER(SEARCH("Beam",$L87)),ISNUMBER(SEARCH("Firestorm",$L87))),1, IF(ISNUMBER(SEARCH("Blast",$L87)),(4+$G87+(2-$G87)*0.5)/6*2,(4+$G87)/6)) *
_xlfn.IFS(AI$24-$I87 &lt;=1, 5/6, AI$24-$I87 &lt;=5, (7-(AI$24-$I87))/6, AND(AI$24-$I87 =6,NOT(_xlfn.IFNA(ISNUMBER(SEARCH("Rending",$L87)),FALSE))), (7-(AI$24-$I87))/6, AND(AI$24-$I87 &gt;=7,NOT(_xlfn.IFNA(ISNUMBER(SEARCH("Rending",$L87)),FALSE))), 0, AI$24-$I87 =7, (7-(AI$24-1-$I87))/6, AI$24-$I87 =8, (7-(AI$24-2-$I87))/6*2/3, AI$24-$I87 =9, (7-(AI$24-3-$I87))/6*1/3, TRUE, 0) *
IF(ISNUMBER(SEARCH("Ordinance",$L87)),7/6,1) *
IF(OR(ISNUMBER(SEARCH("Melee",$L87)),ISNUMBER(SEARCH("Bypass",$L87))),1.5,1)</f>
        <v>0</v>
      </c>
      <c r="AJ87" s="17" cm="1">
        <f t="array" ref="AJ87">$H87 *
IF(ISNUMBER(SEARCH("Rapid",$L87)),7/6,1) *
IF(OR(ISNUMBER(SEARCH("Beam",$L87)),ISNUMBER(SEARCH("Firestorm",$L87))),1, IF(ISNUMBER(SEARCH("Blast",$L87)),(4+$G87+(2-$G87)*0.5)/6*2,(4+$G87)/6)) *
_xlfn.IFS(AJ$24-$I87 &lt;=1, 5/6, AJ$24-$I87 &lt;=5, (7-(AJ$24-$I87))/6, AND(AJ$24-$I87 =6,NOT(_xlfn.IFNA(ISNUMBER(SEARCH("Rending",$L87)),FALSE))), (7-(AJ$24-$I87))/6, AND(AJ$24-$I87 &gt;=7,NOT(_xlfn.IFNA(ISNUMBER(SEARCH("Rending",$L87)),FALSE))), 0, AJ$24-$I87 =7, (7-(AJ$24-1-$I87))/6, AJ$24-$I87 =8, (7-(AJ$24-2-$I87))/6*2/3, AJ$24-$I87 =9, (7-(AJ$24-3-$I87))/6*1/3, TRUE, 0) *
IF(ISNUMBER(SEARCH("Ordinance",$L87)),7/6,1) *
IF(OR(ISNUMBER(SEARCH("Melee",$L87)),ISNUMBER(SEARCH("Bypass",$L87))),1.5,1)</f>
        <v>0</v>
      </c>
      <c r="AK87" s="17" cm="1">
        <f t="array" ref="AK87">$H87 *
IF(ISNUMBER(SEARCH("Rapid",$L87)),7/6,1) *
IF(OR(ISNUMBER(SEARCH("Beam",$L87)),ISNUMBER(SEARCH("Firestorm",$L87))),1, IF(ISNUMBER(SEARCH("Blast",$L87)),(4+$G87+(2-$G87)*0.5)/6*2,(4+$G87)/6)) *
_xlfn.IFS(AK$24-$I87 &lt;=1, 5/6, AK$24-$I87 &lt;=5, (7-(AK$24-$I87))/6, AND(AK$24-$I87 =6,NOT(_xlfn.IFNA(ISNUMBER(SEARCH("Rending",$L87)),FALSE))), (7-(AK$24-$I87))/6, AND(AK$24-$I87 &gt;=7,NOT(_xlfn.IFNA(ISNUMBER(SEARCH("Rending",$L87)),FALSE))), 0, AK$24-$I87 =7, (7-(AK$24-1-$I87))/6, AK$24-$I87 =8, (7-(AK$24-2-$I87))/6*2/3, AK$24-$I87 =9, (7-(AK$24-3-$I87))/6*1/3, TRUE, 0) *
IF(ISNUMBER(SEARCH("Ordinance",$L87)),7/6,1) *
IF(OR(ISNUMBER(SEARCH("Melee",$L87)),ISNUMBER(SEARCH("Bypass",$L87))),1.5,1)</f>
        <v>0</v>
      </c>
      <c r="AL87" s="17" cm="1">
        <f t="array" ref="AL87">$H87 *
IF(ISNUMBER(SEARCH("Rapid",$L87)),7/6,1) *
IF(OR(ISNUMBER(SEARCH("Beam",$L87)),ISNUMBER(SEARCH("Firestorm",$L87))),1, IF(ISNUMBER(SEARCH("Blast",$L87)),(4+$G87+(2-$G87)*0.5)/6*2,(4+$G87)/6)) *
_xlfn.IFS(AL$24-$I87 &lt;=1, 5/6, AL$24-$I87 &lt;=5, (7-(AL$24-$I87))/6, AND(AL$24-$I87 =6,NOT(_xlfn.IFNA(ISNUMBER(SEARCH("Rending",$L87)),FALSE))), (7-(AL$24-$I87))/6, AND(AL$24-$I87 &gt;=7,NOT(_xlfn.IFNA(ISNUMBER(SEARCH("Rending",$L87)),FALSE))), 0, AL$24-$I87 =7, (7-(AL$24-1-$I87))/6, AL$24-$I87 =8, (7-(AL$24-2-$I87))/6*2/3, AL$24-$I87 =9, (7-(AL$24-3-$I87))/6*1/3, TRUE, 0) *
IF(ISNUMBER(SEARCH("Ordinance",$L87)),7/6,1) *
IF(OR(ISNUMBER(SEARCH("Melee",$L87)),ISNUMBER(SEARCH("Bypass",$L87))),1.5,1)</f>
        <v>0</v>
      </c>
      <c r="AM87" s="17" cm="1">
        <f t="array" ref="AM87">$H87 *
IF(ISNUMBER(SEARCH("Rapid",$L87)),7/6,1) *
IF(OR(ISNUMBER(SEARCH("Beam",$L87)),ISNUMBER(SEARCH("Firestorm",$L87))),1, IF(ISNUMBER(SEARCH("Blast",$L87)),(4+$G87+(2-$G87)*0.5)/6*2,(4+$G87)/6)) *
_xlfn.IFS(AM$24-$I87 &lt;=1, 5/6, AM$24-$I87 &lt;=5, (7-(AM$24-$I87))/6, AND(AM$24-$I87 =6,NOT(_xlfn.IFNA(ISNUMBER(SEARCH("Rending",$L87)),FALSE))), (7-(AM$24-$I87))/6, AND(AM$24-$I87 &gt;=7,NOT(_xlfn.IFNA(ISNUMBER(SEARCH("Rending",$L87)),FALSE))), 0, AM$24-$I87 =7, (7-(AM$24-1-$I87))/6, AM$24-$I87 =8, (7-(AM$24-2-$I87))/6*2/3, AM$24-$I87 =9, (7-(AM$24-3-$I87))/6*1/3, TRUE, 0) *
IF(ISNUMBER(SEARCH("Ordinance",$L87)),7/6,1) *
IF(OR(ISNUMBER(SEARCH("Melee",$L87)),ISNUMBER(SEARCH("Bypass",$L87))),1.5,1)</f>
        <v>0</v>
      </c>
      <c r="AN87" s="17" cm="1">
        <f t="array" ref="AN87">$H87 *
IF(ISNUMBER(SEARCH("Rapid",$L87)),7/6,1) *
IF(OR(ISNUMBER(SEARCH("Beam",$L87)),ISNUMBER(SEARCH("Firestorm",$L87))),1, IF(ISNUMBER(SEARCH("Blast",$L87)),(4+$G87+(2-$G87)*0.5)/6*2,(4+$G87)/6)) *
_xlfn.IFS(AN$24-$I87 &lt;=1, 5/6, AN$24-$I87 &lt;=5, (7-(AN$24-$I87))/6, AND(AN$24-$I87 =6,NOT(_xlfn.IFNA(ISNUMBER(SEARCH("Rending",$L87)),FALSE))), (7-(AN$24-$I87))/6, AND(AN$24-$I87 &gt;=7,NOT(_xlfn.IFNA(ISNUMBER(SEARCH("Rending",$L87)),FALSE))), 0, AN$24-$I87 =7, (7-(AN$24-1-$I87))/6, AN$24-$I87 =8, (7-(AN$24-2-$I87))/6*2/3, AN$24-$I87 =9, (7-(AN$24-3-$I87))/6*1/3, TRUE, 0) *
IF(ISNUMBER(SEARCH("Ordinance",$L87)),7/6,1) *
IF(OR(ISNUMBER(SEARCH("Melee",$L87)),ISNUMBER(SEARCH("Bypass",$L87))),1.5,1)</f>
        <v>0</v>
      </c>
      <c r="AO87" s="17" cm="1">
        <f t="array" ref="AO87">$H87 *
IF(ISNUMBER(SEARCH("Rapid",$L87)),7/6,1) *
IF(OR(ISNUMBER(SEARCH("Beam",$L87)),ISNUMBER(SEARCH("Firestorm",$L87))),1, IF(ISNUMBER(SEARCH("Blast",$L87)),(4+$G87+(2-$G87)*0.5)/6*2,(4+$G87)/6)) *
_xlfn.IFS(AO$24-$I87 &lt;=1, 5/6, AO$24-$I87 &lt;=5, (7-(AO$24-$I87))/6, AND(AO$24-$I87 =6,NOT(_xlfn.IFNA(ISNUMBER(SEARCH("Rending",$L87)),FALSE))), (7-(AO$24-$I87))/6, AND(AO$24-$I87 &gt;=7,NOT(_xlfn.IFNA(ISNUMBER(SEARCH("Rending",$L87)),FALSE))), 0, AO$24-$I87 =7, (7-(AO$24-1-$I87))/6, AO$24-$I87 =8, (7-(AO$24-2-$I87))/6*2/3, AO$24-$I87 =9, (7-(AO$24-3-$I87))/6*1/3, TRUE, 0) *
IF(ISNUMBER(SEARCH("Ordinance",$L87)),7/6,1) *
IF(OR(ISNUMBER(SEARCH("Melee",$L87)),ISNUMBER(SEARCH("Bypass",$L87))),1.5,1)</f>
        <v>0</v>
      </c>
      <c r="AP87" s="17" cm="1">
        <f t="array" ref="AP87">$H87 *
IF(ISNUMBER(SEARCH("Rapid",$L87)),7/6,1) *
IF(OR(ISNUMBER(SEARCH("Beam",$L87)),ISNUMBER(SEARCH("Firestorm",$L87))),1, IF(ISNUMBER(SEARCH("Blast",$L87)),(4+$G87+(2-$G87)*0.5)/6*2,(4+$G87)/6)) *
_xlfn.IFS(AP$24-$I87 &lt;=1, 5/6, AP$24-$I87 &lt;=5, (7-(AP$24-$I87))/6, AND(AP$24-$I87 =6,NOT(_xlfn.IFNA(ISNUMBER(SEARCH("Rending",$L87)),FALSE))), (7-(AP$24-$I87))/6, AND(AP$24-$I87 &gt;=7,NOT(_xlfn.IFNA(ISNUMBER(SEARCH("Rending",$L87)),FALSE))), 0, AP$24-$I87 =7, (7-(AP$24-1-$I87))/6, AP$24-$I87 =8, (7-(AP$24-2-$I87))/6*2/3, AP$24-$I87 =9, (7-(AP$24-3-$I87))/6*1/3, TRUE, 0) *
IF(ISNUMBER(SEARCH("Ordinance",$L87)),7/6,1) *
IF(OR(ISNUMBER(SEARCH("Melee",$L87)),ISNUMBER(SEARCH("Bypass",$L87))),1.5,1)</f>
        <v>0</v>
      </c>
      <c r="AQ87" s="17" cm="1">
        <f t="array" ref="AQ87">$H87 *
IF(ISNUMBER(SEARCH("Rapid",$L87)),7/6,1) *
IF(OR(ISNUMBER(SEARCH("Beam",$L87)),ISNUMBER(SEARCH("Firestorm",$L87))),1, IF(ISNUMBER(SEARCH("Blast",$L87)),(4+$G87+(2-$G87)*0.5)/6*2,(4+$G87)/6)) *
_xlfn.IFS(AQ$24-$I87 &lt;=1, 5/6, AQ$24-$I87 &lt;=5, (7-(AQ$24-$I87))/6, AND(AQ$24-$I87 =6,NOT(_xlfn.IFNA(ISNUMBER(SEARCH("Rending",$L87)),FALSE))), (7-(AQ$24-$I87))/6, AND(AQ$24-$I87 &gt;=7,NOT(_xlfn.IFNA(ISNUMBER(SEARCH("Rending",$L87)),FALSE))), 0, AQ$24-$I87 =7, (7-(AQ$24-1-$I87))/6, AQ$24-$I87 =8, (7-(AQ$24-2-$I87))/6*2/3, AQ$24-$I87 =9, (7-(AQ$24-3-$I87))/6*1/3, TRUE, 0) *
IF(ISNUMBER(SEARCH("Ordinance",$L87)),7/6,1) *
IF(OR(ISNUMBER(SEARCH("Melee",$L87)),ISNUMBER(SEARCH("Bypass",$L87))),1.5,1)</f>
        <v>0</v>
      </c>
    </row>
    <row r="88" spans="1:48" x14ac:dyDescent="0.3">
      <c r="A88" t="s">
        <v>139</v>
      </c>
      <c r="B88" s="3">
        <v>30</v>
      </c>
      <c r="C88" s="3">
        <v>60</v>
      </c>
      <c r="D88" s="3">
        <v>1</v>
      </c>
      <c r="E88" s="3">
        <v>2</v>
      </c>
      <c r="F88" s="10">
        <v>0</v>
      </c>
      <c r="G88" s="10">
        <v>0</v>
      </c>
      <c r="H88" s="3">
        <v>1</v>
      </c>
      <c r="I88" s="3">
        <v>12</v>
      </c>
      <c r="J88" s="3" t="s">
        <v>248</v>
      </c>
      <c r="K88" s="3">
        <v>55</v>
      </c>
      <c r="L88" s="3" t="s">
        <v>234</v>
      </c>
      <c r="M88" s="3" t="s">
        <v>199</v>
      </c>
      <c r="N88" s="3">
        <v>11</v>
      </c>
      <c r="O88" s="3">
        <v>11</v>
      </c>
      <c r="P88" s="3">
        <v>15</v>
      </c>
      <c r="Q88" s="3" t="s">
        <v>200</v>
      </c>
      <c r="R88" s="3">
        <v>7</v>
      </c>
      <c r="S88" s="3">
        <v>9</v>
      </c>
      <c r="T88" s="3">
        <v>5</v>
      </c>
      <c r="U88" s="3"/>
      <c r="V88" s="16">
        <f t="shared" si="20"/>
        <v>0.55555555555555558</v>
      </c>
      <c r="W88" s="16">
        <f t="shared" si="21"/>
        <v>0.83333333333333337</v>
      </c>
      <c r="X88" s="17" cm="1">
        <f t="array" ref="X88">$H88 *
IF(ISNUMBER(SEARCH("Rapid",$L88)),7/6,1) *
IF(OR(ISNUMBER(SEARCH("Beam",$L88)),ISNUMBER(SEARCH("Firestorm",$L88))),1, IF(ISNUMBER(SEARCH("Blast",$L88)),(4+$F88+(2-$F88)*0.5)/6*2,(4+$F88)/6)) *
IF(ISNUMBER(SEARCH("Fusion",$L88)), _xlfn.IFS(X$24-$I88 &lt;=1, 9/10, X$24-$I88 &lt;=10,(11-(X$24-$I88))/10, X$24-$I88 &gt;=11, 0),
_xlfn.IFS(X$24-$I88 &lt;=1, 5/6, X$24-$I88 &lt;=5, (7-(X$24-$I88))/6, AND(X$24-$I88 =6,NOT(_xlfn.IFNA(ISNUMBER(SEARCH("Rending",$L88)),FALSE))), (7-(X$24-$I88))/6, AND(X$24-$I88 &gt;=7,NOT(_xlfn.IFNA(ISNUMBER(SEARCH("Rending",$L88)),FALSE))), 0, X$24-$I88 =7, (7-(X$24-1-$I88))/6, X$24-$I88 =8, (7-(X$24-2-$I88))/6*2/3, X$24-$I88 =9, (7-(X$24-3-$I88))/6*1/3, TRUE, 0)) *
IF(ISNUMBER(SEARCH("Ordinance",$L88)),7/6,1) *
IF(OR(ISNUMBER(SEARCH("Melee",$L88)),ISNUMBER(SEARCH("Bypass",$L88))),1.5,1)</f>
        <v>1.3888888888888891</v>
      </c>
      <c r="Y88" s="17" cm="1">
        <f t="array" ref="Y88">$H88 *
IF(ISNUMBER(SEARCH("Rapid",$L88)),7/6,1) *
IF(OR(ISNUMBER(SEARCH("Beam",$L88)),ISNUMBER(SEARCH("Firestorm",$L88))),1, IF(ISNUMBER(SEARCH("Blast",$L88)),(4+$F88+(2-$F88)*0.5)/6*2,(4+$F88)/6)) *
IF(ISNUMBER(SEARCH("Fusion",$L88)), _xlfn.IFS(Y$24-$I88 &lt;=1, 9/10, Y$24-$I88 &lt;=10,(11-(Y$24-$I88))/10, Y$24-$I88 &gt;=11, 0),
_xlfn.IFS(Y$24-$I88 &lt;=1, 5/6, Y$24-$I88 &lt;=5, (7-(Y$24-$I88))/6, AND(Y$24-$I88 =6,NOT(_xlfn.IFNA(ISNUMBER(SEARCH("Rending",$L88)),FALSE))), (7-(Y$24-$I88))/6, AND(Y$24-$I88 &gt;=7,NOT(_xlfn.IFNA(ISNUMBER(SEARCH("Rending",$L88)),FALSE))), 0, Y$24-$I88 =7, (7-(Y$24-1-$I88))/6, Y$24-$I88 =8, (7-(Y$24-2-$I88))/6*2/3, Y$24-$I88 =9, (7-(Y$24-3-$I88))/6*1/3, TRUE, 0)) *
IF(ISNUMBER(SEARCH("Ordinance",$L88)),7/6,1) *
IF(OR(ISNUMBER(SEARCH("Melee",$L88)),ISNUMBER(SEARCH("Bypass",$L88))),1.5,1)</f>
        <v>1.3888888888888891</v>
      </c>
      <c r="Z88" s="17" cm="1">
        <f t="array" ref="Z88">$H88 *
IF(ISNUMBER(SEARCH("Rapid",$L88)),7/6,1) *
IF(OR(ISNUMBER(SEARCH("Beam",$L88)),ISNUMBER(SEARCH("Firestorm",$L88))),1, IF(ISNUMBER(SEARCH("Blast",$L88)),(4+$F88+(2-$F88)*0.5)/6*2,(4+$F88)/6)) *
IF(ISNUMBER(SEARCH("Fusion",$L88)), _xlfn.IFS(Z$24-$I88 &lt;=1, 9/10, Z$24-$I88 &lt;=10,(11-(Z$24-$I88))/10, Z$24-$I88 &gt;=11, 0),
_xlfn.IFS(Z$24-$I88 &lt;=1, 5/6, Z$24-$I88 &lt;=5, (7-(Z$24-$I88))/6, AND(Z$24-$I88 =6,NOT(_xlfn.IFNA(ISNUMBER(SEARCH("Rending",$L88)),FALSE))), (7-(Z$24-$I88))/6, AND(Z$24-$I88 &gt;=7,NOT(_xlfn.IFNA(ISNUMBER(SEARCH("Rending",$L88)),FALSE))), 0, Z$24-$I88 =7, (7-(Z$24-1-$I88))/6, Z$24-$I88 =8, (7-(Z$24-2-$I88))/6*2/3, Z$24-$I88 =9, (7-(Z$24-3-$I88))/6*1/3, TRUE, 0)) *
IF(ISNUMBER(SEARCH("Ordinance",$L88)),7/6,1) *
IF(OR(ISNUMBER(SEARCH("Melee",$L88)),ISNUMBER(SEARCH("Bypass",$L88))),1.5,1)</f>
        <v>1.3888888888888891</v>
      </c>
      <c r="AA88" s="17" cm="1">
        <f t="array" ref="AA88">$H88 *
IF(ISNUMBER(SEARCH("Rapid",$L88)),7/6,1) *
IF(OR(ISNUMBER(SEARCH("Beam",$L88)),ISNUMBER(SEARCH("Firestorm",$L88))),1, IF(ISNUMBER(SEARCH("Blast",$L88)),(4+$F88+(2-$F88)*0.5)/6*2,(4+$F88)/6)) *
IF(ISNUMBER(SEARCH("Fusion",$L88)), _xlfn.IFS(AA$24-$I88 &lt;=1, 9/10, AA$24-$I88 &lt;=10,(11-(AA$24-$I88))/10, AA$24-$I88 &gt;=11, 0),
_xlfn.IFS(AA$24-$I88 &lt;=1, 5/6, AA$24-$I88 &lt;=5, (7-(AA$24-$I88))/6, AND(AA$24-$I88 =6,NOT(_xlfn.IFNA(ISNUMBER(SEARCH("Rending",$L88)),FALSE))), (7-(AA$24-$I88))/6, AND(AA$24-$I88 &gt;=7,NOT(_xlfn.IFNA(ISNUMBER(SEARCH("Rending",$L88)),FALSE))), 0, AA$24-$I88 =7, (7-(AA$24-1-$I88))/6, AA$24-$I88 =8, (7-(AA$24-2-$I88))/6*2/3, AA$24-$I88 =9, (7-(AA$24-3-$I88))/6*1/3, TRUE, 0)) *
IF(ISNUMBER(SEARCH("Ordinance",$L88)),7/6,1) *
IF(OR(ISNUMBER(SEARCH("Melee",$L88)),ISNUMBER(SEARCH("Bypass",$L88))),1.5,1)</f>
        <v>1.3888888888888891</v>
      </c>
      <c r="AB88" s="17" cm="1">
        <f t="array" ref="AB88">$H88 *
IF(ISNUMBER(SEARCH("Rapid",$L88)),7/6,1) *
IF(OR(ISNUMBER(SEARCH("Beam",$L88)),ISNUMBER(SEARCH("Firestorm",$L88))),1, IF(ISNUMBER(SEARCH("Blast",$L88)),(4+$F88+(2-$F88)*0.5)/6*2,(4+$F88)/6)) *
IF(ISNUMBER(SEARCH("Fusion",$L88)), _xlfn.IFS(AB$24-$I88 &lt;=1, 9/10, AB$24-$I88 &lt;=10,(11-(AB$24-$I88))/10, AB$24-$I88 &gt;=11, 0),
_xlfn.IFS(AB$24-$I88 &lt;=1, 5/6, AB$24-$I88 &lt;=5, (7-(AB$24-$I88))/6, AND(AB$24-$I88 =6,NOT(_xlfn.IFNA(ISNUMBER(SEARCH("Rending",$L88)),FALSE))), (7-(AB$24-$I88))/6, AND(AB$24-$I88 &gt;=7,NOT(_xlfn.IFNA(ISNUMBER(SEARCH("Rending",$L88)),FALSE))), 0, AB$24-$I88 =7, (7-(AB$24-1-$I88))/6, AB$24-$I88 =8, (7-(AB$24-2-$I88))/6*2/3, AB$24-$I88 =9, (7-(AB$24-3-$I88))/6*1/3, TRUE, 0)) *
IF(ISNUMBER(SEARCH("Ordinance",$L88)),7/6,1) *
IF(OR(ISNUMBER(SEARCH("Melee",$L88)),ISNUMBER(SEARCH("Bypass",$L88))),1.5,1)</f>
        <v>1.3888888888888891</v>
      </c>
      <c r="AC88" s="17" cm="1">
        <f t="array" ref="AC88">$H88 *
IF(ISNUMBER(SEARCH("Rapid",$L88)),7/6,1) *
IF(OR(ISNUMBER(SEARCH("Beam",$L88)),ISNUMBER(SEARCH("Firestorm",$L88))),1, IF(ISNUMBER(SEARCH("Blast",$L88)),(4+$F88+(2-$F88)*0.5)/6*2,(4+$F88)/6)) *
IF(ISNUMBER(SEARCH("Fusion",$L88)), _xlfn.IFS(AC$24-$I88 &lt;=1, 9/10, AC$24-$I88 &lt;=10,(11-(AC$24-$I88))/10, AC$24-$I88 &gt;=11, 0),
_xlfn.IFS(AC$24-$I88 &lt;=1, 5/6, AC$24-$I88 &lt;=5, (7-(AC$24-$I88))/6, AND(AC$24-$I88 =6,NOT(_xlfn.IFNA(ISNUMBER(SEARCH("Rending",$L88)),FALSE))), (7-(AC$24-$I88))/6, AND(AC$24-$I88 &gt;=7,NOT(_xlfn.IFNA(ISNUMBER(SEARCH("Rending",$L88)),FALSE))), 0, AC$24-$I88 =7, (7-(AC$24-1-$I88))/6, AC$24-$I88 =8, (7-(AC$24-2-$I88))/6*2/3, AC$24-$I88 =9, (7-(AC$24-3-$I88))/6*1/3, TRUE, 0)) *
IF(ISNUMBER(SEARCH("Ordinance",$L88)),7/6,1) *
IF(OR(ISNUMBER(SEARCH("Melee",$L88)),ISNUMBER(SEARCH("Bypass",$L88))),1.5,1)</f>
        <v>1.3888888888888891</v>
      </c>
      <c r="AD88" s="17" cm="1">
        <f t="array" ref="AD88">$H88 *
IF(ISNUMBER(SEARCH("Rapid",$L88)),7/6,1) *
IF(OR(ISNUMBER(SEARCH("Beam",$L88)),ISNUMBER(SEARCH("Firestorm",$L88))),1, IF(ISNUMBER(SEARCH("Blast",$L88)),(4+$F88+(2-$F88)*0.5)/6*2,(4+$F88)/6)) *
IF(ISNUMBER(SEARCH("Fusion",$L88)), _xlfn.IFS(AD$24-$I88 &lt;=1, 9/10, AD$24-$I88 &lt;=10,(11-(AD$24-$I88))/10, AD$24-$I88 &gt;=11, 0),
_xlfn.IFS(AD$24-$I88 &lt;=1, 5/6, AD$24-$I88 &lt;=5, (7-(AD$24-$I88))/6, AND(AD$24-$I88 =6,NOT(_xlfn.IFNA(ISNUMBER(SEARCH("Rending",$L88)),FALSE))), (7-(AD$24-$I88))/6, AND(AD$24-$I88 &gt;=7,NOT(_xlfn.IFNA(ISNUMBER(SEARCH("Rending",$L88)),FALSE))), 0, AD$24-$I88 =7, (7-(AD$24-1-$I88))/6, AD$24-$I88 =8, (7-(AD$24-2-$I88))/6*2/3, AD$24-$I88 =9, (7-(AD$24-3-$I88))/6*1/3, TRUE, 0)) *
IF(ISNUMBER(SEARCH("Ordinance",$L88)),7/6,1) *
IF(OR(ISNUMBER(SEARCH("Melee",$L88)),ISNUMBER(SEARCH("Bypass",$L88))),1.5,1)</f>
        <v>1.1111111111111112</v>
      </c>
      <c r="AE88" s="17" cm="1">
        <f t="array" ref="AE88">$H88 *
IF(ISNUMBER(SEARCH("Rapid",$L88)),7/6,1) *
IF(OR(ISNUMBER(SEARCH("Beam",$L88)),ISNUMBER(SEARCH("Firestorm",$L88))),1, IF(ISNUMBER(SEARCH("Blast",$L88)),(4+$F88+(2-$F88)*0.5)/6*2,(4+$F88)/6)) *
IF(ISNUMBER(SEARCH("Fusion",$L88)), _xlfn.IFS(AE$24-$I88 &lt;=1, 9/10, AE$24-$I88 &lt;=10,(11-(AE$24-$I88))/10, AE$24-$I88 &gt;=11, 0),
_xlfn.IFS(AE$24-$I88 &lt;=1, 5/6, AE$24-$I88 &lt;=5, (7-(AE$24-$I88))/6, AND(AE$24-$I88 =6,NOT(_xlfn.IFNA(ISNUMBER(SEARCH("Rending",$L88)),FALSE))), (7-(AE$24-$I88))/6, AND(AE$24-$I88 &gt;=7,NOT(_xlfn.IFNA(ISNUMBER(SEARCH("Rending",$L88)),FALSE))), 0, AE$24-$I88 =7, (7-(AE$24-1-$I88))/6, AE$24-$I88 =8, (7-(AE$24-2-$I88))/6*2/3, AE$24-$I88 =9, (7-(AE$24-3-$I88))/6*1/3, TRUE, 0)) *
IF(ISNUMBER(SEARCH("Ordinance",$L88)),7/6,1) *
IF(OR(ISNUMBER(SEARCH("Melee",$L88)),ISNUMBER(SEARCH("Bypass",$L88))),1.5,1)</f>
        <v>0.83333333333333337</v>
      </c>
      <c r="AF88" s="17" cm="1">
        <f t="array" ref="AF88">$H88 *
IF(ISNUMBER(SEARCH("Rapid",$L88)),7/6,1) *
IF(OR(ISNUMBER(SEARCH("Beam",$L88)),ISNUMBER(SEARCH("Firestorm",$L88))),1, IF(ISNUMBER(SEARCH("Blast",$L88)),(4+$F88+(2-$F88)*0.5)/6*2,(4+$F88)/6)) *
IF(ISNUMBER(SEARCH("Fusion",$L88)), _xlfn.IFS(AF$24-$I88 &lt;=1, 9/10, AF$24-$I88 &lt;=10,(11-(AF$24-$I88))/10, AF$24-$I88 &gt;=11, 0),
_xlfn.IFS(AF$24-$I88 &lt;=1, 5/6, AF$24-$I88 &lt;=5, (7-(AF$24-$I88))/6, AND(AF$24-$I88 =6,NOT(_xlfn.IFNA(ISNUMBER(SEARCH("Rending",$L88)),FALSE))), (7-(AF$24-$I88))/6, AND(AF$24-$I88 &gt;=7,NOT(_xlfn.IFNA(ISNUMBER(SEARCH("Rending",$L88)),FALSE))), 0, AF$24-$I88 =7, (7-(AF$24-1-$I88))/6, AF$24-$I88 =8, (7-(AF$24-2-$I88))/6*2/3, AF$24-$I88 =9, (7-(AF$24-3-$I88))/6*1/3, TRUE, 0)) *
IF(ISNUMBER(SEARCH("Ordinance",$L88)),7/6,1) *
IF(OR(ISNUMBER(SEARCH("Melee",$L88)),ISNUMBER(SEARCH("Bypass",$L88))),1.5,1)</f>
        <v>0.55555555555555558</v>
      </c>
      <c r="AG88" s="16">
        <f t="shared" si="22"/>
        <v>0.55555555555555558</v>
      </c>
      <c r="AH88" s="16">
        <f t="shared" si="23"/>
        <v>0.83333333333333337</v>
      </c>
      <c r="AI88" s="17" cm="1">
        <f t="array" ref="AI88">$H88 *
IF(ISNUMBER(SEARCH("Rapid",$L88)),7/6,1) *
IF(OR(ISNUMBER(SEARCH("Beam",$L88)),ISNUMBER(SEARCH("Firestorm",$L88))),1, IF(ISNUMBER(SEARCH("Blast",$L88)),(4+$G88+(2-$G88)*0.5)/6*2,(4+$G88)/6)) *
_xlfn.IFS(AI$24-$I88 &lt;=1, 5/6, AI$24-$I88 &lt;=5, (7-(AI$24-$I88))/6, AND(AI$24-$I88 =6,NOT(_xlfn.IFNA(ISNUMBER(SEARCH("Rending",$L88)),FALSE))), (7-(AI$24-$I88))/6, AND(AI$24-$I88 &gt;=7,NOT(_xlfn.IFNA(ISNUMBER(SEARCH("Rending",$L88)),FALSE))), 0, AI$24-$I88 =7, (7-(AI$24-1-$I88))/6, AI$24-$I88 =8, (7-(AI$24-2-$I88))/6*2/3, AI$24-$I88 =9, (7-(AI$24-3-$I88))/6*1/3, TRUE, 0) *
IF(ISNUMBER(SEARCH("Ordinance",$L88)),7/6,1) *
IF(OR(ISNUMBER(SEARCH("Melee",$L88)),ISNUMBER(SEARCH("Bypass",$L88))),1.5,1)</f>
        <v>1.3888888888888891</v>
      </c>
      <c r="AJ88" s="17" cm="1">
        <f t="array" ref="AJ88">$H88 *
IF(ISNUMBER(SEARCH("Rapid",$L88)),7/6,1) *
IF(OR(ISNUMBER(SEARCH("Beam",$L88)),ISNUMBER(SEARCH("Firestorm",$L88))),1, IF(ISNUMBER(SEARCH("Blast",$L88)),(4+$G88+(2-$G88)*0.5)/6*2,(4+$G88)/6)) *
_xlfn.IFS(AJ$24-$I88 &lt;=1, 5/6, AJ$24-$I88 &lt;=5, (7-(AJ$24-$I88))/6, AND(AJ$24-$I88 =6,NOT(_xlfn.IFNA(ISNUMBER(SEARCH("Rending",$L88)),FALSE))), (7-(AJ$24-$I88))/6, AND(AJ$24-$I88 &gt;=7,NOT(_xlfn.IFNA(ISNUMBER(SEARCH("Rending",$L88)),FALSE))), 0, AJ$24-$I88 =7, (7-(AJ$24-1-$I88))/6, AJ$24-$I88 =8, (7-(AJ$24-2-$I88))/6*2/3, AJ$24-$I88 =9, (7-(AJ$24-3-$I88))/6*1/3, TRUE, 0) *
IF(ISNUMBER(SEARCH("Ordinance",$L88)),7/6,1) *
IF(OR(ISNUMBER(SEARCH("Melee",$L88)),ISNUMBER(SEARCH("Bypass",$L88))),1.5,1)</f>
        <v>1.3888888888888891</v>
      </c>
      <c r="AK88" s="17" cm="1">
        <f t="array" ref="AK88">$H88 *
IF(ISNUMBER(SEARCH("Rapid",$L88)),7/6,1) *
IF(OR(ISNUMBER(SEARCH("Beam",$L88)),ISNUMBER(SEARCH("Firestorm",$L88))),1, IF(ISNUMBER(SEARCH("Blast",$L88)),(4+$G88+(2-$G88)*0.5)/6*2,(4+$G88)/6)) *
_xlfn.IFS(AK$24-$I88 &lt;=1, 5/6, AK$24-$I88 &lt;=5, (7-(AK$24-$I88))/6, AND(AK$24-$I88 =6,NOT(_xlfn.IFNA(ISNUMBER(SEARCH("Rending",$L88)),FALSE))), (7-(AK$24-$I88))/6, AND(AK$24-$I88 &gt;=7,NOT(_xlfn.IFNA(ISNUMBER(SEARCH("Rending",$L88)),FALSE))), 0, AK$24-$I88 =7, (7-(AK$24-1-$I88))/6, AK$24-$I88 =8, (7-(AK$24-2-$I88))/6*2/3, AK$24-$I88 =9, (7-(AK$24-3-$I88))/6*1/3, TRUE, 0) *
IF(ISNUMBER(SEARCH("Ordinance",$L88)),7/6,1) *
IF(OR(ISNUMBER(SEARCH("Melee",$L88)),ISNUMBER(SEARCH("Bypass",$L88))),1.5,1)</f>
        <v>1.3888888888888891</v>
      </c>
      <c r="AL88" s="17" cm="1">
        <f t="array" ref="AL88">$H88 *
IF(ISNUMBER(SEARCH("Rapid",$L88)),7/6,1) *
IF(OR(ISNUMBER(SEARCH("Beam",$L88)),ISNUMBER(SEARCH("Firestorm",$L88))),1, IF(ISNUMBER(SEARCH("Blast",$L88)),(4+$G88+(2-$G88)*0.5)/6*2,(4+$G88)/6)) *
_xlfn.IFS(AL$24-$I88 &lt;=1, 5/6, AL$24-$I88 &lt;=5, (7-(AL$24-$I88))/6, AND(AL$24-$I88 =6,NOT(_xlfn.IFNA(ISNUMBER(SEARCH("Rending",$L88)),FALSE))), (7-(AL$24-$I88))/6, AND(AL$24-$I88 &gt;=7,NOT(_xlfn.IFNA(ISNUMBER(SEARCH("Rending",$L88)),FALSE))), 0, AL$24-$I88 =7, (7-(AL$24-1-$I88))/6, AL$24-$I88 =8, (7-(AL$24-2-$I88))/6*2/3, AL$24-$I88 =9, (7-(AL$24-3-$I88))/6*1/3, TRUE, 0) *
IF(ISNUMBER(SEARCH("Ordinance",$L88)),7/6,1) *
IF(OR(ISNUMBER(SEARCH("Melee",$L88)),ISNUMBER(SEARCH("Bypass",$L88))),1.5,1)</f>
        <v>1.3888888888888891</v>
      </c>
      <c r="AM88" s="17" cm="1">
        <f t="array" ref="AM88">$H88 *
IF(ISNUMBER(SEARCH("Rapid",$L88)),7/6,1) *
IF(OR(ISNUMBER(SEARCH("Beam",$L88)),ISNUMBER(SEARCH("Firestorm",$L88))),1, IF(ISNUMBER(SEARCH("Blast",$L88)),(4+$G88+(2-$G88)*0.5)/6*2,(4+$G88)/6)) *
_xlfn.IFS(AM$24-$I88 &lt;=1, 5/6, AM$24-$I88 &lt;=5, (7-(AM$24-$I88))/6, AND(AM$24-$I88 =6,NOT(_xlfn.IFNA(ISNUMBER(SEARCH("Rending",$L88)),FALSE))), (7-(AM$24-$I88))/6, AND(AM$24-$I88 &gt;=7,NOT(_xlfn.IFNA(ISNUMBER(SEARCH("Rending",$L88)),FALSE))), 0, AM$24-$I88 =7, (7-(AM$24-1-$I88))/6, AM$24-$I88 =8, (7-(AM$24-2-$I88))/6*2/3, AM$24-$I88 =9, (7-(AM$24-3-$I88))/6*1/3, TRUE, 0) *
IF(ISNUMBER(SEARCH("Ordinance",$L88)),7/6,1) *
IF(OR(ISNUMBER(SEARCH("Melee",$L88)),ISNUMBER(SEARCH("Bypass",$L88))),1.5,1)</f>
        <v>1.3888888888888891</v>
      </c>
      <c r="AN88" s="17" cm="1">
        <f t="array" ref="AN88">$H88 *
IF(ISNUMBER(SEARCH("Rapid",$L88)),7/6,1) *
IF(OR(ISNUMBER(SEARCH("Beam",$L88)),ISNUMBER(SEARCH("Firestorm",$L88))),1, IF(ISNUMBER(SEARCH("Blast",$L88)),(4+$G88+(2-$G88)*0.5)/6*2,(4+$G88)/6)) *
_xlfn.IFS(AN$24-$I88 &lt;=1, 5/6, AN$24-$I88 &lt;=5, (7-(AN$24-$I88))/6, AND(AN$24-$I88 =6,NOT(_xlfn.IFNA(ISNUMBER(SEARCH("Rending",$L88)),FALSE))), (7-(AN$24-$I88))/6, AND(AN$24-$I88 &gt;=7,NOT(_xlfn.IFNA(ISNUMBER(SEARCH("Rending",$L88)),FALSE))), 0, AN$24-$I88 =7, (7-(AN$24-1-$I88))/6, AN$24-$I88 =8, (7-(AN$24-2-$I88))/6*2/3, AN$24-$I88 =9, (7-(AN$24-3-$I88))/6*1/3, TRUE, 0) *
IF(ISNUMBER(SEARCH("Ordinance",$L88)),7/6,1) *
IF(OR(ISNUMBER(SEARCH("Melee",$L88)),ISNUMBER(SEARCH("Bypass",$L88))),1.5,1)</f>
        <v>1.3888888888888891</v>
      </c>
      <c r="AO88" s="17" cm="1">
        <f t="array" ref="AO88">$H88 *
IF(ISNUMBER(SEARCH("Rapid",$L88)),7/6,1) *
IF(OR(ISNUMBER(SEARCH("Beam",$L88)),ISNUMBER(SEARCH("Firestorm",$L88))),1, IF(ISNUMBER(SEARCH("Blast",$L88)),(4+$G88+(2-$G88)*0.5)/6*2,(4+$G88)/6)) *
_xlfn.IFS(AO$24-$I88 &lt;=1, 5/6, AO$24-$I88 &lt;=5, (7-(AO$24-$I88))/6, AND(AO$24-$I88 =6,NOT(_xlfn.IFNA(ISNUMBER(SEARCH("Rending",$L88)),FALSE))), (7-(AO$24-$I88))/6, AND(AO$24-$I88 &gt;=7,NOT(_xlfn.IFNA(ISNUMBER(SEARCH("Rending",$L88)),FALSE))), 0, AO$24-$I88 =7, (7-(AO$24-1-$I88))/6, AO$24-$I88 =8, (7-(AO$24-2-$I88))/6*2/3, AO$24-$I88 =9, (7-(AO$24-3-$I88))/6*1/3, TRUE, 0) *
IF(ISNUMBER(SEARCH("Ordinance",$L88)),7/6,1) *
IF(OR(ISNUMBER(SEARCH("Melee",$L88)),ISNUMBER(SEARCH("Bypass",$L88))),1.5,1)</f>
        <v>1.1111111111111112</v>
      </c>
      <c r="AP88" s="17" cm="1">
        <f t="array" ref="AP88">$H88 *
IF(ISNUMBER(SEARCH("Rapid",$L88)),7/6,1) *
IF(OR(ISNUMBER(SEARCH("Beam",$L88)),ISNUMBER(SEARCH("Firestorm",$L88))),1, IF(ISNUMBER(SEARCH("Blast",$L88)),(4+$G88+(2-$G88)*0.5)/6*2,(4+$G88)/6)) *
_xlfn.IFS(AP$24-$I88 &lt;=1, 5/6, AP$24-$I88 &lt;=5, (7-(AP$24-$I88))/6, AND(AP$24-$I88 =6,NOT(_xlfn.IFNA(ISNUMBER(SEARCH("Rending",$L88)),FALSE))), (7-(AP$24-$I88))/6, AND(AP$24-$I88 &gt;=7,NOT(_xlfn.IFNA(ISNUMBER(SEARCH("Rending",$L88)),FALSE))), 0, AP$24-$I88 =7, (7-(AP$24-1-$I88))/6, AP$24-$I88 =8, (7-(AP$24-2-$I88))/6*2/3, AP$24-$I88 =9, (7-(AP$24-3-$I88))/6*1/3, TRUE, 0) *
IF(ISNUMBER(SEARCH("Ordinance",$L88)),7/6,1) *
IF(OR(ISNUMBER(SEARCH("Melee",$L88)),ISNUMBER(SEARCH("Bypass",$L88))),1.5,1)</f>
        <v>0.83333333333333337</v>
      </c>
      <c r="AQ88" s="17" cm="1">
        <f t="array" ref="AQ88">$H88 *
IF(ISNUMBER(SEARCH("Rapid",$L88)),7/6,1) *
IF(OR(ISNUMBER(SEARCH("Beam",$L88)),ISNUMBER(SEARCH("Firestorm",$L88))),1, IF(ISNUMBER(SEARCH("Blast",$L88)),(4+$G88+(2-$G88)*0.5)/6*2,(4+$G88)/6)) *
_xlfn.IFS(AQ$24-$I88 &lt;=1, 5/6, AQ$24-$I88 &lt;=5, (7-(AQ$24-$I88))/6, AND(AQ$24-$I88 =6,NOT(_xlfn.IFNA(ISNUMBER(SEARCH("Rending",$L88)),FALSE))), (7-(AQ$24-$I88))/6, AND(AQ$24-$I88 &gt;=7,NOT(_xlfn.IFNA(ISNUMBER(SEARCH("Rending",$L88)),FALSE))), 0, AQ$24-$I88 =7, (7-(AQ$24-1-$I88))/6, AQ$24-$I88 =8, (7-(AQ$24-2-$I88))/6*2/3, AQ$24-$I88 =9, (7-(AQ$24-3-$I88))/6*1/3, TRUE, 0) *
IF(ISNUMBER(SEARCH("Ordinance",$L88)),7/6,1) *
IF(OR(ISNUMBER(SEARCH("Melee",$L88)),ISNUMBER(SEARCH("Bypass",$L88))),1.5,1)</f>
        <v>0.55555555555555558</v>
      </c>
      <c r="AS88" s="16">
        <f t="shared" ref="AS88:AS112" si="26">IF($E88=1,AG88*3,IF($E88=2,2*AG88,1.1*AG88))/3</f>
        <v>0.37037037037037041</v>
      </c>
      <c r="AT88" s="16">
        <f t="shared" ref="AT88:AT112" si="27">IF($E88=1,AH88*3,IF($E88=2,2*AH88,1.1*AH88))/3</f>
        <v>0.55555555555555558</v>
      </c>
      <c r="AU88" s="16">
        <f t="shared" ref="AU88:AU112" si="28">IF(D88+E88=3,
 IF(E88=3, 2.5*AI88,
  IF(E88=2, 1.8*AI88+0.7*X88,
   IF(E88=1, 0.95*AI88+1.55*X88,
    2.5*X88))),
 IF(D88+E88=2,
  IF(E88=2, 1.55*AI88,
   IF(E88 =1, 0.85*AI88+0.7*X88,
    1.55*X88)),
  IF(E88=1, 0.95*AI88,
   0.7*X88))
)/3</f>
        <v>1.1574074074074077</v>
      </c>
      <c r="AV88" s="2">
        <v>14</v>
      </c>
    </row>
    <row r="89" spans="1:48" x14ac:dyDescent="0.3">
      <c r="A89" t="s">
        <v>238</v>
      </c>
      <c r="B89" s="3">
        <v>8</v>
      </c>
      <c r="C89" s="3">
        <v>24</v>
      </c>
      <c r="D89" s="3">
        <v>1</v>
      </c>
      <c r="E89" s="3">
        <v>1</v>
      </c>
      <c r="F89" s="10">
        <v>1</v>
      </c>
      <c r="G89" s="10">
        <v>0</v>
      </c>
      <c r="H89" s="3">
        <v>6</v>
      </c>
      <c r="I89" s="3">
        <v>7</v>
      </c>
      <c r="J89" s="3" t="s">
        <v>248</v>
      </c>
      <c r="K89" s="3">
        <v>30</v>
      </c>
      <c r="L89" s="3" t="s">
        <v>266</v>
      </c>
      <c r="M89" s="3" t="s">
        <v>199</v>
      </c>
      <c r="N89" s="3">
        <v>11</v>
      </c>
      <c r="O89" s="3">
        <v>11</v>
      </c>
      <c r="P89" s="3">
        <v>15</v>
      </c>
      <c r="Q89" s="3" t="s">
        <v>200</v>
      </c>
      <c r="R89" s="3">
        <v>7</v>
      </c>
      <c r="S89" s="3">
        <v>9</v>
      </c>
      <c r="T89" s="3">
        <v>5</v>
      </c>
      <c r="U89" t="s">
        <v>267</v>
      </c>
      <c r="V89" s="16">
        <f t="shared" si="20"/>
        <v>1.6666666666666665</v>
      </c>
      <c r="W89" s="16">
        <f t="shared" si="21"/>
        <v>2.5</v>
      </c>
      <c r="X89" s="17" cm="1">
        <f t="array" ref="X89">$H89 *
IF(ISNUMBER(SEARCH("Rapid",$L89)),7/6,1) *
IF(OR(ISNUMBER(SEARCH("Beam",$L89)),ISNUMBER(SEARCH("Firestorm",$L89))),1, IF(ISNUMBER(SEARCH("Blast",$L89)),(4+$F89+(2-$F89)*0.5)/6*2,(4+$F89)/6)) *
IF(ISNUMBER(SEARCH("Fusion",$L89)), _xlfn.IFS(X$24-$I89 &lt;=1, 9/10, X$24-$I89 &lt;=10,(11-(X$24-$I89))/10, X$24-$I89 &gt;=11, 0),
_xlfn.IFS(X$24-$I89 &lt;=1, 5/6, X$24-$I89 &lt;=5, (7-(X$24-$I89))/6, AND(X$24-$I89 =6,NOT(_xlfn.IFNA(ISNUMBER(SEARCH("Rending",$L89)),FALSE))), (7-(X$24-$I89))/6, AND(X$24-$I89 &gt;=7,NOT(_xlfn.IFNA(ISNUMBER(SEARCH("Rending",$L89)),FALSE))), 0, X$24-$I89 =7, (7-(X$24-1-$I89))/6, X$24-$I89 =8, (7-(X$24-2-$I89))/6*2/3, X$24-$I89 =9, (7-(X$24-3-$I89))/6*1/3, TRUE, 0)) *
IF(ISNUMBER(SEARCH("Ordinance",$L89)),7/6,1) *
IF(OR(ISNUMBER(SEARCH("Melee",$L89)),ISNUMBER(SEARCH("Bypass",$L89))),1.5,1)</f>
        <v>4.8611111111111116</v>
      </c>
      <c r="Y89" s="17" cm="1">
        <f t="array" ref="Y89">$H89 *
IF(ISNUMBER(SEARCH("Rapid",$L89)),7/6,1) *
IF(OR(ISNUMBER(SEARCH("Beam",$L89)),ISNUMBER(SEARCH("Firestorm",$L89))),1, IF(ISNUMBER(SEARCH("Blast",$L89)),(4+$F89+(2-$F89)*0.5)/6*2,(4+$F89)/6)) *
IF(ISNUMBER(SEARCH("Fusion",$L89)), _xlfn.IFS(Y$24-$I89 &lt;=1, 9/10, Y$24-$I89 &lt;=10,(11-(Y$24-$I89))/10, Y$24-$I89 &gt;=11, 0),
_xlfn.IFS(Y$24-$I89 &lt;=1, 5/6, Y$24-$I89 &lt;=5, (7-(Y$24-$I89))/6, AND(Y$24-$I89 =6,NOT(_xlfn.IFNA(ISNUMBER(SEARCH("Rending",$L89)),FALSE))), (7-(Y$24-$I89))/6, AND(Y$24-$I89 &gt;=7,NOT(_xlfn.IFNA(ISNUMBER(SEARCH("Rending",$L89)),FALSE))), 0, Y$24-$I89 =7, (7-(Y$24-1-$I89))/6, Y$24-$I89 =8, (7-(Y$24-2-$I89))/6*2/3, Y$24-$I89 =9, (7-(Y$24-3-$I89))/6*1/3, TRUE, 0)) *
IF(ISNUMBER(SEARCH("Ordinance",$L89)),7/6,1) *
IF(OR(ISNUMBER(SEARCH("Melee",$L89)),ISNUMBER(SEARCH("Bypass",$L89))),1.5,1)</f>
        <v>3.8888888888888888</v>
      </c>
      <c r="Z89" s="17" cm="1">
        <f t="array" ref="Z89">$H89 *
IF(ISNUMBER(SEARCH("Rapid",$L89)),7/6,1) *
IF(OR(ISNUMBER(SEARCH("Beam",$L89)),ISNUMBER(SEARCH("Firestorm",$L89))),1, IF(ISNUMBER(SEARCH("Blast",$L89)),(4+$F89+(2-$F89)*0.5)/6*2,(4+$F89)/6)) *
IF(ISNUMBER(SEARCH("Fusion",$L89)), _xlfn.IFS(Z$24-$I89 &lt;=1, 9/10, Z$24-$I89 &lt;=10,(11-(Z$24-$I89))/10, Z$24-$I89 &gt;=11, 0),
_xlfn.IFS(Z$24-$I89 &lt;=1, 5/6, Z$24-$I89 &lt;=5, (7-(Z$24-$I89))/6, AND(Z$24-$I89 =6,NOT(_xlfn.IFNA(ISNUMBER(SEARCH("Rending",$L89)),FALSE))), (7-(Z$24-$I89))/6, AND(Z$24-$I89 &gt;=7,NOT(_xlfn.IFNA(ISNUMBER(SEARCH("Rending",$L89)),FALSE))), 0, Z$24-$I89 =7, (7-(Z$24-1-$I89))/6, Z$24-$I89 =8, (7-(Z$24-2-$I89))/6*2/3, Z$24-$I89 =9, (7-(Z$24-3-$I89))/6*1/3, TRUE, 0)) *
IF(ISNUMBER(SEARCH("Ordinance",$L89)),7/6,1) *
IF(OR(ISNUMBER(SEARCH("Melee",$L89)),ISNUMBER(SEARCH("Bypass",$L89))),1.5,1)</f>
        <v>2.916666666666667</v>
      </c>
      <c r="AA89" s="17" cm="1">
        <f t="array" ref="AA89">$H89 *
IF(ISNUMBER(SEARCH("Rapid",$L89)),7/6,1) *
IF(OR(ISNUMBER(SEARCH("Beam",$L89)),ISNUMBER(SEARCH("Firestorm",$L89))),1, IF(ISNUMBER(SEARCH("Blast",$L89)),(4+$F89+(2-$F89)*0.5)/6*2,(4+$F89)/6)) *
IF(ISNUMBER(SEARCH("Fusion",$L89)), _xlfn.IFS(AA$24-$I89 &lt;=1, 9/10, AA$24-$I89 &lt;=10,(11-(AA$24-$I89))/10, AA$24-$I89 &gt;=11, 0),
_xlfn.IFS(AA$24-$I89 &lt;=1, 5/6, AA$24-$I89 &lt;=5, (7-(AA$24-$I89))/6, AND(AA$24-$I89 =6,NOT(_xlfn.IFNA(ISNUMBER(SEARCH("Rending",$L89)),FALSE))), (7-(AA$24-$I89))/6, AND(AA$24-$I89 &gt;=7,NOT(_xlfn.IFNA(ISNUMBER(SEARCH("Rending",$L89)),FALSE))), 0, AA$24-$I89 =7, (7-(AA$24-1-$I89))/6, AA$24-$I89 =8, (7-(AA$24-2-$I89))/6*2/3, AA$24-$I89 =9, (7-(AA$24-3-$I89))/6*1/3, TRUE, 0)) *
IF(ISNUMBER(SEARCH("Ordinance",$L89)),7/6,1) *
IF(OR(ISNUMBER(SEARCH("Melee",$L89)),ISNUMBER(SEARCH("Bypass",$L89))),1.5,1)</f>
        <v>1.9444444444444444</v>
      </c>
      <c r="AB89" s="17" cm="1">
        <f t="array" ref="AB89">$H89 *
IF(ISNUMBER(SEARCH("Rapid",$L89)),7/6,1) *
IF(OR(ISNUMBER(SEARCH("Beam",$L89)),ISNUMBER(SEARCH("Firestorm",$L89))),1, IF(ISNUMBER(SEARCH("Blast",$L89)),(4+$F89+(2-$F89)*0.5)/6*2,(4+$F89)/6)) *
IF(ISNUMBER(SEARCH("Fusion",$L89)), _xlfn.IFS(AB$24-$I89 &lt;=1, 9/10, AB$24-$I89 &lt;=10,(11-(AB$24-$I89))/10, AB$24-$I89 &gt;=11, 0),
_xlfn.IFS(AB$24-$I89 &lt;=1, 5/6, AB$24-$I89 &lt;=5, (7-(AB$24-$I89))/6, AND(AB$24-$I89 =6,NOT(_xlfn.IFNA(ISNUMBER(SEARCH("Rending",$L89)),FALSE))), (7-(AB$24-$I89))/6, AND(AB$24-$I89 &gt;=7,NOT(_xlfn.IFNA(ISNUMBER(SEARCH("Rending",$L89)),FALSE))), 0, AB$24-$I89 =7, (7-(AB$24-1-$I89))/6, AB$24-$I89 =8, (7-(AB$24-2-$I89))/6*2/3, AB$24-$I89 =9, (7-(AB$24-3-$I89))/6*1/3, TRUE, 0)) *
IF(ISNUMBER(SEARCH("Ordinance",$L89)),7/6,1) *
IF(OR(ISNUMBER(SEARCH("Melee",$L89)),ISNUMBER(SEARCH("Bypass",$L89))),1.5,1)</f>
        <v>0.97222222222222221</v>
      </c>
      <c r="AC89" s="17" cm="1">
        <f t="array" ref="AC89">$H89 *
IF(ISNUMBER(SEARCH("Rapid",$L89)),7/6,1) *
IF(OR(ISNUMBER(SEARCH("Beam",$L89)),ISNUMBER(SEARCH("Firestorm",$L89))),1, IF(ISNUMBER(SEARCH("Blast",$L89)),(4+$F89+(2-$F89)*0.5)/6*2,(4+$F89)/6)) *
IF(ISNUMBER(SEARCH("Fusion",$L89)), _xlfn.IFS(AC$24-$I89 &lt;=1, 9/10, AC$24-$I89 &lt;=10,(11-(AC$24-$I89))/10, AC$24-$I89 &gt;=11, 0),
_xlfn.IFS(AC$24-$I89 &lt;=1, 5/6, AC$24-$I89 &lt;=5, (7-(AC$24-$I89))/6, AND(AC$24-$I89 =6,NOT(_xlfn.IFNA(ISNUMBER(SEARCH("Rending",$L89)),FALSE))), (7-(AC$24-$I89))/6, AND(AC$24-$I89 &gt;=7,NOT(_xlfn.IFNA(ISNUMBER(SEARCH("Rending",$L89)),FALSE))), 0, AC$24-$I89 =7, (7-(AC$24-1-$I89))/6, AC$24-$I89 =8, (7-(AC$24-2-$I89))/6*2/3, AC$24-$I89 =9, (7-(AC$24-3-$I89))/6*1/3, TRUE, 0)) *
IF(ISNUMBER(SEARCH("Ordinance",$L89)),7/6,1) *
IF(OR(ISNUMBER(SEARCH("Melee",$L89)),ISNUMBER(SEARCH("Bypass",$L89))),1.5,1)</f>
        <v>0</v>
      </c>
      <c r="AD89" s="17" cm="1">
        <f t="array" ref="AD89">$H89 *
IF(ISNUMBER(SEARCH("Rapid",$L89)),7/6,1) *
IF(OR(ISNUMBER(SEARCH("Beam",$L89)),ISNUMBER(SEARCH("Firestorm",$L89))),1, IF(ISNUMBER(SEARCH("Blast",$L89)),(4+$F89+(2-$F89)*0.5)/6*2,(4+$F89)/6)) *
IF(ISNUMBER(SEARCH("Fusion",$L89)), _xlfn.IFS(AD$24-$I89 &lt;=1, 9/10, AD$24-$I89 &lt;=10,(11-(AD$24-$I89))/10, AD$24-$I89 &gt;=11, 0),
_xlfn.IFS(AD$24-$I89 &lt;=1, 5/6, AD$24-$I89 &lt;=5, (7-(AD$24-$I89))/6, AND(AD$24-$I89 =6,NOT(_xlfn.IFNA(ISNUMBER(SEARCH("Rending",$L89)),FALSE))), (7-(AD$24-$I89))/6, AND(AD$24-$I89 &gt;=7,NOT(_xlfn.IFNA(ISNUMBER(SEARCH("Rending",$L89)),FALSE))), 0, AD$24-$I89 =7, (7-(AD$24-1-$I89))/6, AD$24-$I89 =8, (7-(AD$24-2-$I89))/6*2/3, AD$24-$I89 =9, (7-(AD$24-3-$I89))/6*1/3, TRUE, 0)) *
IF(ISNUMBER(SEARCH("Ordinance",$L89)),7/6,1) *
IF(OR(ISNUMBER(SEARCH("Melee",$L89)),ISNUMBER(SEARCH("Bypass",$L89))),1.5,1)</f>
        <v>0</v>
      </c>
      <c r="AE89" s="17" cm="1">
        <f t="array" ref="AE89">$H89 *
IF(ISNUMBER(SEARCH("Rapid",$L89)),7/6,1) *
IF(OR(ISNUMBER(SEARCH("Beam",$L89)),ISNUMBER(SEARCH("Firestorm",$L89))),1, IF(ISNUMBER(SEARCH("Blast",$L89)),(4+$F89+(2-$F89)*0.5)/6*2,(4+$F89)/6)) *
IF(ISNUMBER(SEARCH("Fusion",$L89)), _xlfn.IFS(AE$24-$I89 &lt;=1, 9/10, AE$24-$I89 &lt;=10,(11-(AE$24-$I89))/10, AE$24-$I89 &gt;=11, 0),
_xlfn.IFS(AE$24-$I89 &lt;=1, 5/6, AE$24-$I89 &lt;=5, (7-(AE$24-$I89))/6, AND(AE$24-$I89 =6,NOT(_xlfn.IFNA(ISNUMBER(SEARCH("Rending",$L89)),FALSE))), (7-(AE$24-$I89))/6, AND(AE$24-$I89 &gt;=7,NOT(_xlfn.IFNA(ISNUMBER(SEARCH("Rending",$L89)),FALSE))), 0, AE$24-$I89 =7, (7-(AE$24-1-$I89))/6, AE$24-$I89 =8, (7-(AE$24-2-$I89))/6*2/3, AE$24-$I89 =9, (7-(AE$24-3-$I89))/6*1/3, TRUE, 0)) *
IF(ISNUMBER(SEARCH("Ordinance",$L89)),7/6,1) *
IF(OR(ISNUMBER(SEARCH("Melee",$L89)),ISNUMBER(SEARCH("Bypass",$L89))),1.5,1)</f>
        <v>0</v>
      </c>
      <c r="AF89" s="17" cm="1">
        <f t="array" ref="AF89">$H89 *
IF(ISNUMBER(SEARCH("Rapid",$L89)),7/6,1) *
IF(OR(ISNUMBER(SEARCH("Beam",$L89)),ISNUMBER(SEARCH("Firestorm",$L89))),1, IF(ISNUMBER(SEARCH("Blast",$L89)),(4+$F89+(2-$F89)*0.5)/6*2,(4+$F89)/6)) *
IF(ISNUMBER(SEARCH("Fusion",$L89)), _xlfn.IFS(AF$24-$I89 &lt;=1, 9/10, AF$24-$I89 &lt;=10,(11-(AF$24-$I89))/10, AF$24-$I89 &gt;=11, 0),
_xlfn.IFS(AF$24-$I89 &lt;=1, 5/6, AF$24-$I89 &lt;=5, (7-(AF$24-$I89))/6, AND(AF$24-$I89 =6,NOT(_xlfn.IFNA(ISNUMBER(SEARCH("Rending",$L89)),FALSE))), (7-(AF$24-$I89))/6, AND(AF$24-$I89 &gt;=7,NOT(_xlfn.IFNA(ISNUMBER(SEARCH("Rending",$L89)),FALSE))), 0, AF$24-$I89 =7, (7-(AF$24-1-$I89))/6, AF$24-$I89 =8, (7-(AF$24-2-$I89))/6*2/3, AF$24-$I89 =9, (7-(AF$24-3-$I89))/6*1/3, TRUE, 0)) *
IF(ISNUMBER(SEARCH("Ordinance",$L89)),7/6,1) *
IF(OR(ISNUMBER(SEARCH("Melee",$L89)),ISNUMBER(SEARCH("Bypass",$L89))),1.5,1)</f>
        <v>0</v>
      </c>
      <c r="AG89" s="16">
        <f t="shared" si="22"/>
        <v>1.3333333333333333</v>
      </c>
      <c r="AH89" s="16">
        <f t="shared" si="23"/>
        <v>2</v>
      </c>
      <c r="AI89" s="17" cm="1">
        <f t="array" ref="AI89">$H89 *
IF(ISNUMBER(SEARCH("Rapid",$L89)),7/6,1) *
IF(OR(ISNUMBER(SEARCH("Beam",$L89)),ISNUMBER(SEARCH("Firestorm",$L89))),1, IF(ISNUMBER(SEARCH("Blast",$L89)),(4+$G89+(2-$G89)*0.5)/6*2,(4+$G89)/6)) *
_xlfn.IFS(AI$24-$I89 &lt;=1, 5/6, AI$24-$I89 &lt;=5, (7-(AI$24-$I89))/6, AND(AI$24-$I89 =6,NOT(_xlfn.IFNA(ISNUMBER(SEARCH("Rending",$L89)),FALSE))), (7-(AI$24-$I89))/6, AND(AI$24-$I89 &gt;=7,NOT(_xlfn.IFNA(ISNUMBER(SEARCH("Rending",$L89)),FALSE))), 0, AI$24-$I89 =7, (7-(AI$24-1-$I89))/6, AI$24-$I89 =8, (7-(AI$24-2-$I89))/6*2/3, AI$24-$I89 =9, (7-(AI$24-3-$I89))/6*1/3, TRUE, 0) *
IF(ISNUMBER(SEARCH("Ordinance",$L89)),7/6,1) *
IF(OR(ISNUMBER(SEARCH("Melee",$L89)),ISNUMBER(SEARCH("Bypass",$L89))),1.5,1)</f>
        <v>3.8888888888888893</v>
      </c>
      <c r="AJ89" s="17" cm="1">
        <f t="array" ref="AJ89">$H89 *
IF(ISNUMBER(SEARCH("Rapid",$L89)),7/6,1) *
IF(OR(ISNUMBER(SEARCH("Beam",$L89)),ISNUMBER(SEARCH("Firestorm",$L89))),1, IF(ISNUMBER(SEARCH("Blast",$L89)),(4+$G89+(2-$G89)*0.5)/6*2,(4+$G89)/6)) *
_xlfn.IFS(AJ$24-$I89 &lt;=1, 5/6, AJ$24-$I89 &lt;=5, (7-(AJ$24-$I89))/6, AND(AJ$24-$I89 =6,NOT(_xlfn.IFNA(ISNUMBER(SEARCH("Rending",$L89)),FALSE))), (7-(AJ$24-$I89))/6, AND(AJ$24-$I89 &gt;=7,NOT(_xlfn.IFNA(ISNUMBER(SEARCH("Rending",$L89)),FALSE))), 0, AJ$24-$I89 =7, (7-(AJ$24-1-$I89))/6, AJ$24-$I89 =8, (7-(AJ$24-2-$I89))/6*2/3, AJ$24-$I89 =9, (7-(AJ$24-3-$I89))/6*1/3, TRUE, 0) *
IF(ISNUMBER(SEARCH("Ordinance",$L89)),7/6,1) *
IF(OR(ISNUMBER(SEARCH("Melee",$L89)),ISNUMBER(SEARCH("Bypass",$L89))),1.5,1)</f>
        <v>3.1111111111111112</v>
      </c>
      <c r="AK89" s="17" cm="1">
        <f t="array" ref="AK89">$H89 *
IF(ISNUMBER(SEARCH("Rapid",$L89)),7/6,1) *
IF(OR(ISNUMBER(SEARCH("Beam",$L89)),ISNUMBER(SEARCH("Firestorm",$L89))),1, IF(ISNUMBER(SEARCH("Blast",$L89)),(4+$G89+(2-$G89)*0.5)/6*2,(4+$G89)/6)) *
_xlfn.IFS(AK$24-$I89 &lt;=1, 5/6, AK$24-$I89 &lt;=5, (7-(AK$24-$I89))/6, AND(AK$24-$I89 =6,NOT(_xlfn.IFNA(ISNUMBER(SEARCH("Rending",$L89)),FALSE))), (7-(AK$24-$I89))/6, AND(AK$24-$I89 &gt;=7,NOT(_xlfn.IFNA(ISNUMBER(SEARCH("Rending",$L89)),FALSE))), 0, AK$24-$I89 =7, (7-(AK$24-1-$I89))/6, AK$24-$I89 =8, (7-(AK$24-2-$I89))/6*2/3, AK$24-$I89 =9, (7-(AK$24-3-$I89))/6*1/3, TRUE, 0) *
IF(ISNUMBER(SEARCH("Ordinance",$L89)),7/6,1) *
IF(OR(ISNUMBER(SEARCH("Melee",$L89)),ISNUMBER(SEARCH("Bypass",$L89))),1.5,1)</f>
        <v>2.3333333333333335</v>
      </c>
      <c r="AL89" s="17" cm="1">
        <f t="array" ref="AL89">$H89 *
IF(ISNUMBER(SEARCH("Rapid",$L89)),7/6,1) *
IF(OR(ISNUMBER(SEARCH("Beam",$L89)),ISNUMBER(SEARCH("Firestorm",$L89))),1, IF(ISNUMBER(SEARCH("Blast",$L89)),(4+$G89+(2-$G89)*0.5)/6*2,(4+$G89)/6)) *
_xlfn.IFS(AL$24-$I89 &lt;=1, 5/6, AL$24-$I89 &lt;=5, (7-(AL$24-$I89))/6, AND(AL$24-$I89 =6,NOT(_xlfn.IFNA(ISNUMBER(SEARCH("Rending",$L89)),FALSE))), (7-(AL$24-$I89))/6, AND(AL$24-$I89 &gt;=7,NOT(_xlfn.IFNA(ISNUMBER(SEARCH("Rending",$L89)),FALSE))), 0, AL$24-$I89 =7, (7-(AL$24-1-$I89))/6, AL$24-$I89 =8, (7-(AL$24-2-$I89))/6*2/3, AL$24-$I89 =9, (7-(AL$24-3-$I89))/6*1/3, TRUE, 0) *
IF(ISNUMBER(SEARCH("Ordinance",$L89)),7/6,1) *
IF(OR(ISNUMBER(SEARCH("Melee",$L89)),ISNUMBER(SEARCH("Bypass",$L89))),1.5,1)</f>
        <v>1.5555555555555556</v>
      </c>
      <c r="AM89" s="17" cm="1">
        <f t="array" ref="AM89">$H89 *
IF(ISNUMBER(SEARCH("Rapid",$L89)),7/6,1) *
IF(OR(ISNUMBER(SEARCH("Beam",$L89)),ISNUMBER(SEARCH("Firestorm",$L89))),1, IF(ISNUMBER(SEARCH("Blast",$L89)),(4+$G89+(2-$G89)*0.5)/6*2,(4+$G89)/6)) *
_xlfn.IFS(AM$24-$I89 &lt;=1, 5/6, AM$24-$I89 &lt;=5, (7-(AM$24-$I89))/6, AND(AM$24-$I89 =6,NOT(_xlfn.IFNA(ISNUMBER(SEARCH("Rending",$L89)),FALSE))), (7-(AM$24-$I89))/6, AND(AM$24-$I89 &gt;=7,NOT(_xlfn.IFNA(ISNUMBER(SEARCH("Rending",$L89)),FALSE))), 0, AM$24-$I89 =7, (7-(AM$24-1-$I89))/6, AM$24-$I89 =8, (7-(AM$24-2-$I89))/6*2/3, AM$24-$I89 =9, (7-(AM$24-3-$I89))/6*1/3, TRUE, 0) *
IF(ISNUMBER(SEARCH("Ordinance",$L89)),7/6,1) *
IF(OR(ISNUMBER(SEARCH("Melee",$L89)),ISNUMBER(SEARCH("Bypass",$L89))),1.5,1)</f>
        <v>0.77777777777777779</v>
      </c>
      <c r="AN89" s="17" cm="1">
        <f t="array" ref="AN89">$H89 *
IF(ISNUMBER(SEARCH("Rapid",$L89)),7/6,1) *
IF(OR(ISNUMBER(SEARCH("Beam",$L89)),ISNUMBER(SEARCH("Firestorm",$L89))),1, IF(ISNUMBER(SEARCH("Blast",$L89)),(4+$G89+(2-$G89)*0.5)/6*2,(4+$G89)/6)) *
_xlfn.IFS(AN$24-$I89 &lt;=1, 5/6, AN$24-$I89 &lt;=5, (7-(AN$24-$I89))/6, AND(AN$24-$I89 =6,NOT(_xlfn.IFNA(ISNUMBER(SEARCH("Rending",$L89)),FALSE))), (7-(AN$24-$I89))/6, AND(AN$24-$I89 &gt;=7,NOT(_xlfn.IFNA(ISNUMBER(SEARCH("Rending",$L89)),FALSE))), 0, AN$24-$I89 =7, (7-(AN$24-1-$I89))/6, AN$24-$I89 =8, (7-(AN$24-2-$I89))/6*2/3, AN$24-$I89 =9, (7-(AN$24-3-$I89))/6*1/3, TRUE, 0) *
IF(ISNUMBER(SEARCH("Ordinance",$L89)),7/6,1) *
IF(OR(ISNUMBER(SEARCH("Melee",$L89)),ISNUMBER(SEARCH("Bypass",$L89))),1.5,1)</f>
        <v>0</v>
      </c>
      <c r="AO89" s="17" cm="1">
        <f t="array" ref="AO89">$H89 *
IF(ISNUMBER(SEARCH("Rapid",$L89)),7/6,1) *
IF(OR(ISNUMBER(SEARCH("Beam",$L89)),ISNUMBER(SEARCH("Firestorm",$L89))),1, IF(ISNUMBER(SEARCH("Blast",$L89)),(4+$G89+(2-$G89)*0.5)/6*2,(4+$G89)/6)) *
_xlfn.IFS(AO$24-$I89 &lt;=1, 5/6, AO$24-$I89 &lt;=5, (7-(AO$24-$I89))/6, AND(AO$24-$I89 =6,NOT(_xlfn.IFNA(ISNUMBER(SEARCH("Rending",$L89)),FALSE))), (7-(AO$24-$I89))/6, AND(AO$24-$I89 &gt;=7,NOT(_xlfn.IFNA(ISNUMBER(SEARCH("Rending",$L89)),FALSE))), 0, AO$24-$I89 =7, (7-(AO$24-1-$I89))/6, AO$24-$I89 =8, (7-(AO$24-2-$I89))/6*2/3, AO$24-$I89 =9, (7-(AO$24-3-$I89))/6*1/3, TRUE, 0) *
IF(ISNUMBER(SEARCH("Ordinance",$L89)),7/6,1) *
IF(OR(ISNUMBER(SEARCH("Melee",$L89)),ISNUMBER(SEARCH("Bypass",$L89))),1.5,1)</f>
        <v>0</v>
      </c>
      <c r="AP89" s="17" cm="1">
        <f t="array" ref="AP89">$H89 *
IF(ISNUMBER(SEARCH("Rapid",$L89)),7/6,1) *
IF(OR(ISNUMBER(SEARCH("Beam",$L89)),ISNUMBER(SEARCH("Firestorm",$L89))),1, IF(ISNUMBER(SEARCH("Blast",$L89)),(4+$G89+(2-$G89)*0.5)/6*2,(4+$G89)/6)) *
_xlfn.IFS(AP$24-$I89 &lt;=1, 5/6, AP$24-$I89 &lt;=5, (7-(AP$24-$I89))/6, AND(AP$24-$I89 =6,NOT(_xlfn.IFNA(ISNUMBER(SEARCH("Rending",$L89)),FALSE))), (7-(AP$24-$I89))/6, AND(AP$24-$I89 &gt;=7,NOT(_xlfn.IFNA(ISNUMBER(SEARCH("Rending",$L89)),FALSE))), 0, AP$24-$I89 =7, (7-(AP$24-1-$I89))/6, AP$24-$I89 =8, (7-(AP$24-2-$I89))/6*2/3, AP$24-$I89 =9, (7-(AP$24-3-$I89))/6*1/3, TRUE, 0) *
IF(ISNUMBER(SEARCH("Ordinance",$L89)),7/6,1) *
IF(OR(ISNUMBER(SEARCH("Melee",$L89)),ISNUMBER(SEARCH("Bypass",$L89))),1.5,1)</f>
        <v>0</v>
      </c>
      <c r="AQ89" s="17" cm="1">
        <f t="array" ref="AQ89">$H89 *
IF(ISNUMBER(SEARCH("Rapid",$L89)),7/6,1) *
IF(OR(ISNUMBER(SEARCH("Beam",$L89)),ISNUMBER(SEARCH("Firestorm",$L89))),1, IF(ISNUMBER(SEARCH("Blast",$L89)),(4+$G89+(2-$G89)*0.5)/6*2,(4+$G89)/6)) *
_xlfn.IFS(AQ$24-$I89 &lt;=1, 5/6, AQ$24-$I89 &lt;=5, (7-(AQ$24-$I89))/6, AND(AQ$24-$I89 =6,NOT(_xlfn.IFNA(ISNUMBER(SEARCH("Rending",$L89)),FALSE))), (7-(AQ$24-$I89))/6, AND(AQ$24-$I89 &gt;=7,NOT(_xlfn.IFNA(ISNUMBER(SEARCH("Rending",$L89)),FALSE))), 0, AQ$24-$I89 =7, (7-(AQ$24-1-$I89))/6, AQ$24-$I89 =8, (7-(AQ$24-2-$I89))/6*2/3, AQ$24-$I89 =9, (7-(AQ$24-3-$I89))/6*1/3, TRUE, 0) *
IF(ISNUMBER(SEARCH("Ordinance",$L89)),7/6,1) *
IF(OR(ISNUMBER(SEARCH("Melee",$L89)),ISNUMBER(SEARCH("Bypass",$L89))),1.5,1)</f>
        <v>0</v>
      </c>
      <c r="AS89" s="16">
        <f t="shared" si="26"/>
        <v>1.3333333333333333</v>
      </c>
      <c r="AT89" s="16">
        <f t="shared" si="27"/>
        <v>2</v>
      </c>
      <c r="AU89" s="16">
        <f t="shared" si="28"/>
        <v>2.2361111111111112</v>
      </c>
      <c r="AV89" s="2">
        <v>9</v>
      </c>
    </row>
    <row r="90" spans="1:48" x14ac:dyDescent="0.3">
      <c r="A90" t="s">
        <v>239</v>
      </c>
      <c r="B90" s="3">
        <v>12</v>
      </c>
      <c r="C90" s="3">
        <v>24</v>
      </c>
      <c r="D90" s="3">
        <v>1</v>
      </c>
      <c r="E90" s="3">
        <v>1</v>
      </c>
      <c r="F90" s="10">
        <v>0</v>
      </c>
      <c r="G90" s="10">
        <v>0</v>
      </c>
      <c r="H90" s="3">
        <v>4</v>
      </c>
      <c r="I90" s="3">
        <v>8</v>
      </c>
      <c r="J90" s="3" t="s">
        <v>248</v>
      </c>
      <c r="K90" s="3">
        <v>45</v>
      </c>
      <c r="M90" s="3" t="s">
        <v>199</v>
      </c>
      <c r="N90" s="3">
        <v>11</v>
      </c>
      <c r="O90" s="3">
        <v>11</v>
      </c>
      <c r="P90" s="3">
        <v>15</v>
      </c>
      <c r="Q90" s="3" t="s">
        <v>200</v>
      </c>
      <c r="R90" s="3">
        <v>7</v>
      </c>
      <c r="S90" s="3">
        <v>9</v>
      </c>
      <c r="T90" s="3">
        <v>5</v>
      </c>
      <c r="V90" s="16">
        <f t="shared" si="20"/>
        <v>0.88888888888888884</v>
      </c>
      <c r="W90" s="16">
        <f t="shared" si="21"/>
        <v>1.3333333333333333</v>
      </c>
      <c r="X90" s="17" cm="1">
        <f t="array" ref="X90">$H90 *
IF(ISNUMBER(SEARCH("Rapid",$L90)),7/6,1) *
IF(OR(ISNUMBER(SEARCH("Beam",$L90)),ISNUMBER(SEARCH("Firestorm",$L90))),1, IF(ISNUMBER(SEARCH("Blast",$L90)),(4+$F90+(2-$F90)*0.5)/6*2,(4+$F90)/6)) *
IF(ISNUMBER(SEARCH("Fusion",$L90)), _xlfn.IFS(X$24-$I90 &lt;=1, 9/10, X$24-$I90 &lt;=10,(11-(X$24-$I90))/10, X$24-$I90 &gt;=11, 0),
_xlfn.IFS(X$24-$I90 &lt;=1, 5/6, X$24-$I90 &lt;=5, (7-(X$24-$I90))/6, AND(X$24-$I90 =6,NOT(_xlfn.IFNA(ISNUMBER(SEARCH("Rending",$L90)),FALSE))), (7-(X$24-$I90))/6, AND(X$24-$I90 &gt;=7,NOT(_xlfn.IFNA(ISNUMBER(SEARCH("Rending",$L90)),FALSE))), 0, X$24-$I90 =7, (7-(X$24-1-$I90))/6, X$24-$I90 =8, (7-(X$24-2-$I90))/6*2/3, X$24-$I90 =9, (7-(X$24-3-$I90))/6*1/3, TRUE, 0)) *
IF(ISNUMBER(SEARCH("Ordinance",$L90)),7/6,1) *
IF(OR(ISNUMBER(SEARCH("Melee",$L90)),ISNUMBER(SEARCH("Bypass",$L90))),1.5,1)</f>
        <v>2.2222222222222223</v>
      </c>
      <c r="Y90" s="17" cm="1">
        <f t="array" ref="Y90">$H90 *
IF(ISNUMBER(SEARCH("Rapid",$L90)),7/6,1) *
IF(OR(ISNUMBER(SEARCH("Beam",$L90)),ISNUMBER(SEARCH("Firestorm",$L90))),1, IF(ISNUMBER(SEARCH("Blast",$L90)),(4+$F90+(2-$F90)*0.5)/6*2,(4+$F90)/6)) *
IF(ISNUMBER(SEARCH("Fusion",$L90)), _xlfn.IFS(Y$24-$I90 &lt;=1, 9/10, Y$24-$I90 &lt;=10,(11-(Y$24-$I90))/10, Y$24-$I90 &gt;=11, 0),
_xlfn.IFS(Y$24-$I90 &lt;=1, 5/6, Y$24-$I90 &lt;=5, (7-(Y$24-$I90))/6, AND(Y$24-$I90 =6,NOT(_xlfn.IFNA(ISNUMBER(SEARCH("Rending",$L90)),FALSE))), (7-(Y$24-$I90))/6, AND(Y$24-$I90 &gt;=7,NOT(_xlfn.IFNA(ISNUMBER(SEARCH("Rending",$L90)),FALSE))), 0, Y$24-$I90 =7, (7-(Y$24-1-$I90))/6, Y$24-$I90 =8, (7-(Y$24-2-$I90))/6*2/3, Y$24-$I90 =9, (7-(Y$24-3-$I90))/6*1/3, TRUE, 0)) *
IF(ISNUMBER(SEARCH("Ordinance",$L90)),7/6,1) *
IF(OR(ISNUMBER(SEARCH("Melee",$L90)),ISNUMBER(SEARCH("Bypass",$L90))),1.5,1)</f>
        <v>2.2222222222222223</v>
      </c>
      <c r="Z90" s="17" cm="1">
        <f t="array" ref="Z90">$H90 *
IF(ISNUMBER(SEARCH("Rapid",$L90)),7/6,1) *
IF(OR(ISNUMBER(SEARCH("Beam",$L90)),ISNUMBER(SEARCH("Firestorm",$L90))),1, IF(ISNUMBER(SEARCH("Blast",$L90)),(4+$F90+(2-$F90)*0.5)/6*2,(4+$F90)/6)) *
IF(ISNUMBER(SEARCH("Fusion",$L90)), _xlfn.IFS(Z$24-$I90 &lt;=1, 9/10, Z$24-$I90 &lt;=10,(11-(Z$24-$I90))/10, Z$24-$I90 &gt;=11, 0),
_xlfn.IFS(Z$24-$I90 &lt;=1, 5/6, Z$24-$I90 &lt;=5, (7-(Z$24-$I90))/6, AND(Z$24-$I90 =6,NOT(_xlfn.IFNA(ISNUMBER(SEARCH("Rending",$L90)),FALSE))), (7-(Z$24-$I90))/6, AND(Z$24-$I90 &gt;=7,NOT(_xlfn.IFNA(ISNUMBER(SEARCH("Rending",$L90)),FALSE))), 0, Z$24-$I90 =7, (7-(Z$24-1-$I90))/6, Z$24-$I90 =8, (7-(Z$24-2-$I90))/6*2/3, Z$24-$I90 =9, (7-(Z$24-3-$I90))/6*1/3, TRUE, 0)) *
IF(ISNUMBER(SEARCH("Ordinance",$L90)),7/6,1) *
IF(OR(ISNUMBER(SEARCH("Melee",$L90)),ISNUMBER(SEARCH("Bypass",$L90))),1.5,1)</f>
        <v>1.7777777777777777</v>
      </c>
      <c r="AA90" s="17" cm="1">
        <f t="array" ref="AA90">$H90 *
IF(ISNUMBER(SEARCH("Rapid",$L90)),7/6,1) *
IF(OR(ISNUMBER(SEARCH("Beam",$L90)),ISNUMBER(SEARCH("Firestorm",$L90))),1, IF(ISNUMBER(SEARCH("Blast",$L90)),(4+$F90+(2-$F90)*0.5)/6*2,(4+$F90)/6)) *
IF(ISNUMBER(SEARCH("Fusion",$L90)), _xlfn.IFS(AA$24-$I90 &lt;=1, 9/10, AA$24-$I90 &lt;=10,(11-(AA$24-$I90))/10, AA$24-$I90 &gt;=11, 0),
_xlfn.IFS(AA$24-$I90 &lt;=1, 5/6, AA$24-$I90 &lt;=5, (7-(AA$24-$I90))/6, AND(AA$24-$I90 =6,NOT(_xlfn.IFNA(ISNUMBER(SEARCH("Rending",$L90)),FALSE))), (7-(AA$24-$I90))/6, AND(AA$24-$I90 &gt;=7,NOT(_xlfn.IFNA(ISNUMBER(SEARCH("Rending",$L90)),FALSE))), 0, AA$24-$I90 =7, (7-(AA$24-1-$I90))/6, AA$24-$I90 =8, (7-(AA$24-2-$I90))/6*2/3, AA$24-$I90 =9, (7-(AA$24-3-$I90))/6*1/3, TRUE, 0)) *
IF(ISNUMBER(SEARCH("Ordinance",$L90)),7/6,1) *
IF(OR(ISNUMBER(SEARCH("Melee",$L90)),ISNUMBER(SEARCH("Bypass",$L90))),1.5,1)</f>
        <v>1.3333333333333333</v>
      </c>
      <c r="AB90" s="17" cm="1">
        <f t="array" ref="AB90">$H90 *
IF(ISNUMBER(SEARCH("Rapid",$L90)),7/6,1) *
IF(OR(ISNUMBER(SEARCH("Beam",$L90)),ISNUMBER(SEARCH("Firestorm",$L90))),1, IF(ISNUMBER(SEARCH("Blast",$L90)),(4+$F90+(2-$F90)*0.5)/6*2,(4+$F90)/6)) *
IF(ISNUMBER(SEARCH("Fusion",$L90)), _xlfn.IFS(AB$24-$I90 &lt;=1, 9/10, AB$24-$I90 &lt;=10,(11-(AB$24-$I90))/10, AB$24-$I90 &gt;=11, 0),
_xlfn.IFS(AB$24-$I90 &lt;=1, 5/6, AB$24-$I90 &lt;=5, (7-(AB$24-$I90))/6, AND(AB$24-$I90 =6,NOT(_xlfn.IFNA(ISNUMBER(SEARCH("Rending",$L90)),FALSE))), (7-(AB$24-$I90))/6, AND(AB$24-$I90 &gt;=7,NOT(_xlfn.IFNA(ISNUMBER(SEARCH("Rending",$L90)),FALSE))), 0, AB$24-$I90 =7, (7-(AB$24-1-$I90))/6, AB$24-$I90 =8, (7-(AB$24-2-$I90))/6*2/3, AB$24-$I90 =9, (7-(AB$24-3-$I90))/6*1/3, TRUE, 0)) *
IF(ISNUMBER(SEARCH("Ordinance",$L90)),7/6,1) *
IF(OR(ISNUMBER(SEARCH("Melee",$L90)),ISNUMBER(SEARCH("Bypass",$L90))),1.5,1)</f>
        <v>0.88888888888888884</v>
      </c>
      <c r="AC90" s="17" cm="1">
        <f t="array" ref="AC90">$H90 *
IF(ISNUMBER(SEARCH("Rapid",$L90)),7/6,1) *
IF(OR(ISNUMBER(SEARCH("Beam",$L90)),ISNUMBER(SEARCH("Firestorm",$L90))),1, IF(ISNUMBER(SEARCH("Blast",$L90)),(4+$F90+(2-$F90)*0.5)/6*2,(4+$F90)/6)) *
IF(ISNUMBER(SEARCH("Fusion",$L90)), _xlfn.IFS(AC$24-$I90 &lt;=1, 9/10, AC$24-$I90 &lt;=10,(11-(AC$24-$I90))/10, AC$24-$I90 &gt;=11, 0),
_xlfn.IFS(AC$24-$I90 &lt;=1, 5/6, AC$24-$I90 &lt;=5, (7-(AC$24-$I90))/6, AND(AC$24-$I90 =6,NOT(_xlfn.IFNA(ISNUMBER(SEARCH("Rending",$L90)),FALSE))), (7-(AC$24-$I90))/6, AND(AC$24-$I90 &gt;=7,NOT(_xlfn.IFNA(ISNUMBER(SEARCH("Rending",$L90)),FALSE))), 0, AC$24-$I90 =7, (7-(AC$24-1-$I90))/6, AC$24-$I90 =8, (7-(AC$24-2-$I90))/6*2/3, AC$24-$I90 =9, (7-(AC$24-3-$I90))/6*1/3, TRUE, 0)) *
IF(ISNUMBER(SEARCH("Ordinance",$L90)),7/6,1) *
IF(OR(ISNUMBER(SEARCH("Melee",$L90)),ISNUMBER(SEARCH("Bypass",$L90))),1.5,1)</f>
        <v>0.44444444444444442</v>
      </c>
      <c r="AD90" s="17" cm="1">
        <f t="array" ref="AD90">$H90 *
IF(ISNUMBER(SEARCH("Rapid",$L90)),7/6,1) *
IF(OR(ISNUMBER(SEARCH("Beam",$L90)),ISNUMBER(SEARCH("Firestorm",$L90))),1, IF(ISNUMBER(SEARCH("Blast",$L90)),(4+$F90+(2-$F90)*0.5)/6*2,(4+$F90)/6)) *
IF(ISNUMBER(SEARCH("Fusion",$L90)), _xlfn.IFS(AD$24-$I90 &lt;=1, 9/10, AD$24-$I90 &lt;=10,(11-(AD$24-$I90))/10, AD$24-$I90 &gt;=11, 0),
_xlfn.IFS(AD$24-$I90 &lt;=1, 5/6, AD$24-$I90 &lt;=5, (7-(AD$24-$I90))/6, AND(AD$24-$I90 =6,NOT(_xlfn.IFNA(ISNUMBER(SEARCH("Rending",$L90)),FALSE))), (7-(AD$24-$I90))/6, AND(AD$24-$I90 &gt;=7,NOT(_xlfn.IFNA(ISNUMBER(SEARCH("Rending",$L90)),FALSE))), 0, AD$24-$I90 =7, (7-(AD$24-1-$I90))/6, AD$24-$I90 =8, (7-(AD$24-2-$I90))/6*2/3, AD$24-$I90 =9, (7-(AD$24-3-$I90))/6*1/3, TRUE, 0)) *
IF(ISNUMBER(SEARCH("Ordinance",$L90)),7/6,1) *
IF(OR(ISNUMBER(SEARCH("Melee",$L90)),ISNUMBER(SEARCH("Bypass",$L90))),1.5,1)</f>
        <v>0</v>
      </c>
      <c r="AE90" s="17" cm="1">
        <f t="array" ref="AE90">$H90 *
IF(ISNUMBER(SEARCH("Rapid",$L90)),7/6,1) *
IF(OR(ISNUMBER(SEARCH("Beam",$L90)),ISNUMBER(SEARCH("Firestorm",$L90))),1, IF(ISNUMBER(SEARCH("Blast",$L90)),(4+$F90+(2-$F90)*0.5)/6*2,(4+$F90)/6)) *
IF(ISNUMBER(SEARCH("Fusion",$L90)), _xlfn.IFS(AE$24-$I90 &lt;=1, 9/10, AE$24-$I90 &lt;=10,(11-(AE$24-$I90))/10, AE$24-$I90 &gt;=11, 0),
_xlfn.IFS(AE$24-$I90 &lt;=1, 5/6, AE$24-$I90 &lt;=5, (7-(AE$24-$I90))/6, AND(AE$24-$I90 =6,NOT(_xlfn.IFNA(ISNUMBER(SEARCH("Rending",$L90)),FALSE))), (7-(AE$24-$I90))/6, AND(AE$24-$I90 &gt;=7,NOT(_xlfn.IFNA(ISNUMBER(SEARCH("Rending",$L90)),FALSE))), 0, AE$24-$I90 =7, (7-(AE$24-1-$I90))/6, AE$24-$I90 =8, (7-(AE$24-2-$I90))/6*2/3, AE$24-$I90 =9, (7-(AE$24-3-$I90))/6*1/3, TRUE, 0)) *
IF(ISNUMBER(SEARCH("Ordinance",$L90)),7/6,1) *
IF(OR(ISNUMBER(SEARCH("Melee",$L90)),ISNUMBER(SEARCH("Bypass",$L90))),1.5,1)</f>
        <v>0</v>
      </c>
      <c r="AF90" s="17" cm="1">
        <f t="array" ref="AF90">$H90 *
IF(ISNUMBER(SEARCH("Rapid",$L90)),7/6,1) *
IF(OR(ISNUMBER(SEARCH("Beam",$L90)),ISNUMBER(SEARCH("Firestorm",$L90))),1, IF(ISNUMBER(SEARCH("Blast",$L90)),(4+$F90+(2-$F90)*0.5)/6*2,(4+$F90)/6)) *
IF(ISNUMBER(SEARCH("Fusion",$L90)), _xlfn.IFS(AF$24-$I90 &lt;=1, 9/10, AF$24-$I90 &lt;=10,(11-(AF$24-$I90))/10, AF$24-$I90 &gt;=11, 0),
_xlfn.IFS(AF$24-$I90 &lt;=1, 5/6, AF$24-$I90 &lt;=5, (7-(AF$24-$I90))/6, AND(AF$24-$I90 =6,NOT(_xlfn.IFNA(ISNUMBER(SEARCH("Rending",$L90)),FALSE))), (7-(AF$24-$I90))/6, AND(AF$24-$I90 &gt;=7,NOT(_xlfn.IFNA(ISNUMBER(SEARCH("Rending",$L90)),FALSE))), 0, AF$24-$I90 =7, (7-(AF$24-1-$I90))/6, AF$24-$I90 =8, (7-(AF$24-2-$I90))/6*2/3, AF$24-$I90 =9, (7-(AF$24-3-$I90))/6*1/3, TRUE, 0)) *
IF(ISNUMBER(SEARCH("Ordinance",$L90)),7/6,1) *
IF(OR(ISNUMBER(SEARCH("Melee",$L90)),ISNUMBER(SEARCH("Bypass",$L90))),1.5,1)</f>
        <v>0</v>
      </c>
      <c r="AG90" s="16">
        <f t="shared" si="22"/>
        <v>0.88888888888888884</v>
      </c>
      <c r="AH90" s="16">
        <f t="shared" si="23"/>
        <v>1.3333333333333333</v>
      </c>
      <c r="AI90" s="17" cm="1">
        <f t="array" ref="AI90">$H90 *
IF(ISNUMBER(SEARCH("Rapid",$L90)),7/6,1) *
IF(OR(ISNUMBER(SEARCH("Beam",$L90)),ISNUMBER(SEARCH("Firestorm",$L90))),1, IF(ISNUMBER(SEARCH("Blast",$L90)),(4+$G90+(2-$G90)*0.5)/6*2,(4+$G90)/6)) *
_xlfn.IFS(AI$24-$I90 &lt;=1, 5/6, AI$24-$I90 &lt;=5, (7-(AI$24-$I90))/6, AND(AI$24-$I90 =6,NOT(_xlfn.IFNA(ISNUMBER(SEARCH("Rending",$L90)),FALSE))), (7-(AI$24-$I90))/6, AND(AI$24-$I90 &gt;=7,NOT(_xlfn.IFNA(ISNUMBER(SEARCH("Rending",$L90)),FALSE))), 0, AI$24-$I90 =7, (7-(AI$24-1-$I90))/6, AI$24-$I90 =8, (7-(AI$24-2-$I90))/6*2/3, AI$24-$I90 =9, (7-(AI$24-3-$I90))/6*1/3, TRUE, 0) *
IF(ISNUMBER(SEARCH("Ordinance",$L90)),7/6,1) *
IF(OR(ISNUMBER(SEARCH("Melee",$L90)),ISNUMBER(SEARCH("Bypass",$L90))),1.5,1)</f>
        <v>2.2222222222222223</v>
      </c>
      <c r="AJ90" s="17" cm="1">
        <f t="array" ref="AJ90">$H90 *
IF(ISNUMBER(SEARCH("Rapid",$L90)),7/6,1) *
IF(OR(ISNUMBER(SEARCH("Beam",$L90)),ISNUMBER(SEARCH("Firestorm",$L90))),1, IF(ISNUMBER(SEARCH("Blast",$L90)),(4+$G90+(2-$G90)*0.5)/6*2,(4+$G90)/6)) *
_xlfn.IFS(AJ$24-$I90 &lt;=1, 5/6, AJ$24-$I90 &lt;=5, (7-(AJ$24-$I90))/6, AND(AJ$24-$I90 =6,NOT(_xlfn.IFNA(ISNUMBER(SEARCH("Rending",$L90)),FALSE))), (7-(AJ$24-$I90))/6, AND(AJ$24-$I90 &gt;=7,NOT(_xlfn.IFNA(ISNUMBER(SEARCH("Rending",$L90)),FALSE))), 0, AJ$24-$I90 =7, (7-(AJ$24-1-$I90))/6, AJ$24-$I90 =8, (7-(AJ$24-2-$I90))/6*2/3, AJ$24-$I90 =9, (7-(AJ$24-3-$I90))/6*1/3, TRUE, 0) *
IF(ISNUMBER(SEARCH("Ordinance",$L90)),7/6,1) *
IF(OR(ISNUMBER(SEARCH("Melee",$L90)),ISNUMBER(SEARCH("Bypass",$L90))),1.5,1)</f>
        <v>2.2222222222222223</v>
      </c>
      <c r="AK90" s="17" cm="1">
        <f t="array" ref="AK90">$H90 *
IF(ISNUMBER(SEARCH("Rapid",$L90)),7/6,1) *
IF(OR(ISNUMBER(SEARCH("Beam",$L90)),ISNUMBER(SEARCH("Firestorm",$L90))),1, IF(ISNUMBER(SEARCH("Blast",$L90)),(4+$G90+(2-$G90)*0.5)/6*2,(4+$G90)/6)) *
_xlfn.IFS(AK$24-$I90 &lt;=1, 5/6, AK$24-$I90 &lt;=5, (7-(AK$24-$I90))/6, AND(AK$24-$I90 =6,NOT(_xlfn.IFNA(ISNUMBER(SEARCH("Rending",$L90)),FALSE))), (7-(AK$24-$I90))/6, AND(AK$24-$I90 &gt;=7,NOT(_xlfn.IFNA(ISNUMBER(SEARCH("Rending",$L90)),FALSE))), 0, AK$24-$I90 =7, (7-(AK$24-1-$I90))/6, AK$24-$I90 =8, (7-(AK$24-2-$I90))/6*2/3, AK$24-$I90 =9, (7-(AK$24-3-$I90))/6*1/3, TRUE, 0) *
IF(ISNUMBER(SEARCH("Ordinance",$L90)),7/6,1) *
IF(OR(ISNUMBER(SEARCH("Melee",$L90)),ISNUMBER(SEARCH("Bypass",$L90))),1.5,1)</f>
        <v>1.7777777777777777</v>
      </c>
      <c r="AL90" s="17" cm="1">
        <f t="array" ref="AL90">$H90 *
IF(ISNUMBER(SEARCH("Rapid",$L90)),7/6,1) *
IF(OR(ISNUMBER(SEARCH("Beam",$L90)),ISNUMBER(SEARCH("Firestorm",$L90))),1, IF(ISNUMBER(SEARCH("Blast",$L90)),(4+$G90+(2-$G90)*0.5)/6*2,(4+$G90)/6)) *
_xlfn.IFS(AL$24-$I90 &lt;=1, 5/6, AL$24-$I90 &lt;=5, (7-(AL$24-$I90))/6, AND(AL$24-$I90 =6,NOT(_xlfn.IFNA(ISNUMBER(SEARCH("Rending",$L90)),FALSE))), (7-(AL$24-$I90))/6, AND(AL$24-$I90 &gt;=7,NOT(_xlfn.IFNA(ISNUMBER(SEARCH("Rending",$L90)),FALSE))), 0, AL$24-$I90 =7, (7-(AL$24-1-$I90))/6, AL$24-$I90 =8, (7-(AL$24-2-$I90))/6*2/3, AL$24-$I90 =9, (7-(AL$24-3-$I90))/6*1/3, TRUE, 0) *
IF(ISNUMBER(SEARCH("Ordinance",$L90)),7/6,1) *
IF(OR(ISNUMBER(SEARCH("Melee",$L90)),ISNUMBER(SEARCH("Bypass",$L90))),1.5,1)</f>
        <v>1.3333333333333333</v>
      </c>
      <c r="AM90" s="17" cm="1">
        <f t="array" ref="AM90">$H90 *
IF(ISNUMBER(SEARCH("Rapid",$L90)),7/6,1) *
IF(OR(ISNUMBER(SEARCH("Beam",$L90)),ISNUMBER(SEARCH("Firestorm",$L90))),1, IF(ISNUMBER(SEARCH("Blast",$L90)),(4+$G90+(2-$G90)*0.5)/6*2,(4+$G90)/6)) *
_xlfn.IFS(AM$24-$I90 &lt;=1, 5/6, AM$24-$I90 &lt;=5, (7-(AM$24-$I90))/6, AND(AM$24-$I90 =6,NOT(_xlfn.IFNA(ISNUMBER(SEARCH("Rending",$L90)),FALSE))), (7-(AM$24-$I90))/6, AND(AM$24-$I90 &gt;=7,NOT(_xlfn.IFNA(ISNUMBER(SEARCH("Rending",$L90)),FALSE))), 0, AM$24-$I90 =7, (7-(AM$24-1-$I90))/6, AM$24-$I90 =8, (7-(AM$24-2-$I90))/6*2/3, AM$24-$I90 =9, (7-(AM$24-3-$I90))/6*1/3, TRUE, 0) *
IF(ISNUMBER(SEARCH("Ordinance",$L90)),7/6,1) *
IF(OR(ISNUMBER(SEARCH("Melee",$L90)),ISNUMBER(SEARCH("Bypass",$L90))),1.5,1)</f>
        <v>0.88888888888888884</v>
      </c>
      <c r="AN90" s="17" cm="1">
        <f t="array" ref="AN90">$H90 *
IF(ISNUMBER(SEARCH("Rapid",$L90)),7/6,1) *
IF(OR(ISNUMBER(SEARCH("Beam",$L90)),ISNUMBER(SEARCH("Firestorm",$L90))),1, IF(ISNUMBER(SEARCH("Blast",$L90)),(4+$G90+(2-$G90)*0.5)/6*2,(4+$G90)/6)) *
_xlfn.IFS(AN$24-$I90 &lt;=1, 5/6, AN$24-$I90 &lt;=5, (7-(AN$24-$I90))/6, AND(AN$24-$I90 =6,NOT(_xlfn.IFNA(ISNUMBER(SEARCH("Rending",$L90)),FALSE))), (7-(AN$24-$I90))/6, AND(AN$24-$I90 &gt;=7,NOT(_xlfn.IFNA(ISNUMBER(SEARCH("Rending",$L90)),FALSE))), 0, AN$24-$I90 =7, (7-(AN$24-1-$I90))/6, AN$24-$I90 =8, (7-(AN$24-2-$I90))/6*2/3, AN$24-$I90 =9, (7-(AN$24-3-$I90))/6*1/3, TRUE, 0) *
IF(ISNUMBER(SEARCH("Ordinance",$L90)),7/6,1) *
IF(OR(ISNUMBER(SEARCH("Melee",$L90)),ISNUMBER(SEARCH("Bypass",$L90))),1.5,1)</f>
        <v>0.44444444444444442</v>
      </c>
      <c r="AO90" s="17" cm="1">
        <f t="array" ref="AO90">$H90 *
IF(ISNUMBER(SEARCH("Rapid",$L90)),7/6,1) *
IF(OR(ISNUMBER(SEARCH("Beam",$L90)),ISNUMBER(SEARCH("Firestorm",$L90))),1, IF(ISNUMBER(SEARCH("Blast",$L90)),(4+$G90+(2-$G90)*0.5)/6*2,(4+$G90)/6)) *
_xlfn.IFS(AO$24-$I90 &lt;=1, 5/6, AO$24-$I90 &lt;=5, (7-(AO$24-$I90))/6, AND(AO$24-$I90 =6,NOT(_xlfn.IFNA(ISNUMBER(SEARCH("Rending",$L90)),FALSE))), (7-(AO$24-$I90))/6, AND(AO$24-$I90 &gt;=7,NOT(_xlfn.IFNA(ISNUMBER(SEARCH("Rending",$L90)),FALSE))), 0, AO$24-$I90 =7, (7-(AO$24-1-$I90))/6, AO$24-$I90 =8, (7-(AO$24-2-$I90))/6*2/3, AO$24-$I90 =9, (7-(AO$24-3-$I90))/6*1/3, TRUE, 0) *
IF(ISNUMBER(SEARCH("Ordinance",$L90)),7/6,1) *
IF(OR(ISNUMBER(SEARCH("Melee",$L90)),ISNUMBER(SEARCH("Bypass",$L90))),1.5,1)</f>
        <v>0</v>
      </c>
      <c r="AP90" s="17" cm="1">
        <f t="array" ref="AP90">$H90 *
IF(ISNUMBER(SEARCH("Rapid",$L90)),7/6,1) *
IF(OR(ISNUMBER(SEARCH("Beam",$L90)),ISNUMBER(SEARCH("Firestorm",$L90))),1, IF(ISNUMBER(SEARCH("Blast",$L90)),(4+$G90+(2-$G90)*0.5)/6*2,(4+$G90)/6)) *
_xlfn.IFS(AP$24-$I90 &lt;=1, 5/6, AP$24-$I90 &lt;=5, (7-(AP$24-$I90))/6, AND(AP$24-$I90 =6,NOT(_xlfn.IFNA(ISNUMBER(SEARCH("Rending",$L90)),FALSE))), (7-(AP$24-$I90))/6, AND(AP$24-$I90 &gt;=7,NOT(_xlfn.IFNA(ISNUMBER(SEARCH("Rending",$L90)),FALSE))), 0, AP$24-$I90 =7, (7-(AP$24-1-$I90))/6, AP$24-$I90 =8, (7-(AP$24-2-$I90))/6*2/3, AP$24-$I90 =9, (7-(AP$24-3-$I90))/6*1/3, TRUE, 0) *
IF(ISNUMBER(SEARCH("Ordinance",$L90)),7/6,1) *
IF(OR(ISNUMBER(SEARCH("Melee",$L90)),ISNUMBER(SEARCH("Bypass",$L90))),1.5,1)</f>
        <v>0</v>
      </c>
      <c r="AQ90" s="17" cm="1">
        <f t="array" ref="AQ90">$H90 *
IF(ISNUMBER(SEARCH("Rapid",$L90)),7/6,1) *
IF(OR(ISNUMBER(SEARCH("Beam",$L90)),ISNUMBER(SEARCH("Firestorm",$L90))),1, IF(ISNUMBER(SEARCH("Blast",$L90)),(4+$G90+(2-$G90)*0.5)/6*2,(4+$G90)/6)) *
_xlfn.IFS(AQ$24-$I90 &lt;=1, 5/6, AQ$24-$I90 &lt;=5, (7-(AQ$24-$I90))/6, AND(AQ$24-$I90 =6,NOT(_xlfn.IFNA(ISNUMBER(SEARCH("Rending",$L90)),FALSE))), (7-(AQ$24-$I90))/6, AND(AQ$24-$I90 &gt;=7,NOT(_xlfn.IFNA(ISNUMBER(SEARCH("Rending",$L90)),FALSE))), 0, AQ$24-$I90 =7, (7-(AQ$24-1-$I90))/6, AQ$24-$I90 =8, (7-(AQ$24-2-$I90))/6*2/3, AQ$24-$I90 =9, (7-(AQ$24-3-$I90))/6*1/3, TRUE, 0) *
IF(ISNUMBER(SEARCH("Ordinance",$L90)),7/6,1) *
IF(OR(ISNUMBER(SEARCH("Melee",$L90)),ISNUMBER(SEARCH("Bypass",$L90))),1.5,1)</f>
        <v>0</v>
      </c>
      <c r="AS90" s="16">
        <f t="shared" si="26"/>
        <v>0.88888888888888884</v>
      </c>
      <c r="AT90" s="16">
        <f t="shared" si="27"/>
        <v>1.3333333333333333</v>
      </c>
      <c r="AU90" s="16">
        <f t="shared" si="28"/>
        <v>1.1481481481481481</v>
      </c>
      <c r="AV90" s="2">
        <v>10</v>
      </c>
    </row>
    <row r="91" spans="1:48" x14ac:dyDescent="0.3">
      <c r="A91" t="s">
        <v>251</v>
      </c>
      <c r="B91" s="3">
        <v>12</v>
      </c>
      <c r="C91" s="3">
        <v>24</v>
      </c>
      <c r="D91" s="3">
        <v>1</v>
      </c>
      <c r="E91" s="3">
        <v>1</v>
      </c>
      <c r="F91" s="10">
        <v>0</v>
      </c>
      <c r="G91" s="10">
        <v>0</v>
      </c>
      <c r="H91" s="3">
        <v>4</v>
      </c>
      <c r="I91" s="3">
        <v>10</v>
      </c>
      <c r="J91" s="3" t="s">
        <v>248</v>
      </c>
      <c r="K91" s="3">
        <v>45</v>
      </c>
      <c r="L91" s="3" t="s">
        <v>252</v>
      </c>
      <c r="M91" s="3" t="s">
        <v>199</v>
      </c>
      <c r="N91" s="3">
        <v>11</v>
      </c>
      <c r="O91" s="3">
        <v>11</v>
      </c>
      <c r="P91" s="3">
        <v>15</v>
      </c>
      <c r="Q91" s="3" t="s">
        <v>200</v>
      </c>
      <c r="R91" s="3">
        <v>7</v>
      </c>
      <c r="S91" s="3">
        <v>9</v>
      </c>
      <c r="T91" s="3">
        <v>5</v>
      </c>
      <c r="V91" s="16">
        <f t="shared" si="20"/>
        <v>0.88888888888888884</v>
      </c>
      <c r="W91" s="16">
        <f t="shared" si="21"/>
        <v>1.3333333333333333</v>
      </c>
      <c r="X91" s="17" cm="1">
        <f t="array" ref="X91">$H91 *
IF(ISNUMBER(SEARCH("Rapid",$L91)),7/6,1) *
IF(OR(ISNUMBER(SEARCH("Beam",$L91)),ISNUMBER(SEARCH("Firestorm",$L91))),1, IF(ISNUMBER(SEARCH("Blast",$L91)),(4+$F91+(2-$F91)*0.5)/6*2,(4+$F91)/6)) *
IF(ISNUMBER(SEARCH("Fusion",$L91)), _xlfn.IFS(X$24-$I91 &lt;=1, 9/10, X$24-$I91 &lt;=10,(11-(X$24-$I91))/10, X$24-$I91 &gt;=11, 0),
_xlfn.IFS(X$24-$I91 &lt;=1, 5/6, X$24-$I91 &lt;=5, (7-(X$24-$I91))/6, AND(X$24-$I91 =6,NOT(_xlfn.IFNA(ISNUMBER(SEARCH("Rending",$L91)),FALSE))), (7-(X$24-$I91))/6, AND(X$24-$I91 &gt;=7,NOT(_xlfn.IFNA(ISNUMBER(SEARCH("Rending",$L91)),FALSE))), 0, X$24-$I91 =7, (7-(X$24-1-$I91))/6, X$24-$I91 =8, (7-(X$24-2-$I91))/6*2/3, X$24-$I91 =9, (7-(X$24-3-$I91))/6*1/3, TRUE, 0)) *
IF(ISNUMBER(SEARCH("Ordinance",$L91)),7/6,1) *
IF(OR(ISNUMBER(SEARCH("Melee",$L91)),ISNUMBER(SEARCH("Bypass",$L91))),1.5,1)</f>
        <v>2.2222222222222223</v>
      </c>
      <c r="Y91" s="17" cm="1">
        <f t="array" ref="Y91">$H91 *
IF(ISNUMBER(SEARCH("Rapid",$L91)),7/6,1) *
IF(OR(ISNUMBER(SEARCH("Beam",$L91)),ISNUMBER(SEARCH("Firestorm",$L91))),1, IF(ISNUMBER(SEARCH("Blast",$L91)),(4+$F91+(2-$F91)*0.5)/6*2,(4+$F91)/6)) *
IF(ISNUMBER(SEARCH("Fusion",$L91)), _xlfn.IFS(Y$24-$I91 &lt;=1, 9/10, Y$24-$I91 &lt;=10,(11-(Y$24-$I91))/10, Y$24-$I91 &gt;=11, 0),
_xlfn.IFS(Y$24-$I91 &lt;=1, 5/6, Y$24-$I91 &lt;=5, (7-(Y$24-$I91))/6, AND(Y$24-$I91 =6,NOT(_xlfn.IFNA(ISNUMBER(SEARCH("Rending",$L91)),FALSE))), (7-(Y$24-$I91))/6, AND(Y$24-$I91 &gt;=7,NOT(_xlfn.IFNA(ISNUMBER(SEARCH("Rending",$L91)),FALSE))), 0, Y$24-$I91 =7, (7-(Y$24-1-$I91))/6, Y$24-$I91 =8, (7-(Y$24-2-$I91))/6*2/3, Y$24-$I91 =9, (7-(Y$24-3-$I91))/6*1/3, TRUE, 0)) *
IF(ISNUMBER(SEARCH("Ordinance",$L91)),7/6,1) *
IF(OR(ISNUMBER(SEARCH("Melee",$L91)),ISNUMBER(SEARCH("Bypass",$L91))),1.5,1)</f>
        <v>2.2222222222222223</v>
      </c>
      <c r="Z91" s="17" cm="1">
        <f t="array" ref="Z91">$H91 *
IF(ISNUMBER(SEARCH("Rapid",$L91)),7/6,1) *
IF(OR(ISNUMBER(SEARCH("Beam",$L91)),ISNUMBER(SEARCH("Firestorm",$L91))),1, IF(ISNUMBER(SEARCH("Blast",$L91)),(4+$F91+(2-$F91)*0.5)/6*2,(4+$F91)/6)) *
IF(ISNUMBER(SEARCH("Fusion",$L91)), _xlfn.IFS(Z$24-$I91 &lt;=1, 9/10, Z$24-$I91 &lt;=10,(11-(Z$24-$I91))/10, Z$24-$I91 &gt;=11, 0),
_xlfn.IFS(Z$24-$I91 &lt;=1, 5/6, Z$24-$I91 &lt;=5, (7-(Z$24-$I91))/6, AND(Z$24-$I91 =6,NOT(_xlfn.IFNA(ISNUMBER(SEARCH("Rending",$L91)),FALSE))), (7-(Z$24-$I91))/6, AND(Z$24-$I91 &gt;=7,NOT(_xlfn.IFNA(ISNUMBER(SEARCH("Rending",$L91)),FALSE))), 0, Z$24-$I91 =7, (7-(Z$24-1-$I91))/6, Z$24-$I91 =8, (7-(Z$24-2-$I91))/6*2/3, Z$24-$I91 =9, (7-(Z$24-3-$I91))/6*1/3, TRUE, 0)) *
IF(ISNUMBER(SEARCH("Ordinance",$L91)),7/6,1) *
IF(OR(ISNUMBER(SEARCH("Melee",$L91)),ISNUMBER(SEARCH("Bypass",$L91))),1.5,1)</f>
        <v>2.2222222222222223</v>
      </c>
      <c r="AA91" s="17" cm="1">
        <f t="array" ref="AA91">$H91 *
IF(ISNUMBER(SEARCH("Rapid",$L91)),7/6,1) *
IF(OR(ISNUMBER(SEARCH("Beam",$L91)),ISNUMBER(SEARCH("Firestorm",$L91))),1, IF(ISNUMBER(SEARCH("Blast",$L91)),(4+$F91+(2-$F91)*0.5)/6*2,(4+$F91)/6)) *
IF(ISNUMBER(SEARCH("Fusion",$L91)), _xlfn.IFS(AA$24-$I91 &lt;=1, 9/10, AA$24-$I91 &lt;=10,(11-(AA$24-$I91))/10, AA$24-$I91 &gt;=11, 0),
_xlfn.IFS(AA$24-$I91 &lt;=1, 5/6, AA$24-$I91 &lt;=5, (7-(AA$24-$I91))/6, AND(AA$24-$I91 =6,NOT(_xlfn.IFNA(ISNUMBER(SEARCH("Rending",$L91)),FALSE))), (7-(AA$24-$I91))/6, AND(AA$24-$I91 &gt;=7,NOT(_xlfn.IFNA(ISNUMBER(SEARCH("Rending",$L91)),FALSE))), 0, AA$24-$I91 =7, (7-(AA$24-1-$I91))/6, AA$24-$I91 =8, (7-(AA$24-2-$I91))/6*2/3, AA$24-$I91 =9, (7-(AA$24-3-$I91))/6*1/3, TRUE, 0)) *
IF(ISNUMBER(SEARCH("Ordinance",$L91)),7/6,1) *
IF(OR(ISNUMBER(SEARCH("Melee",$L91)),ISNUMBER(SEARCH("Bypass",$L91))),1.5,1)</f>
        <v>2.2222222222222223</v>
      </c>
      <c r="AB91" s="17" cm="1">
        <f t="array" ref="AB91">$H91 *
IF(ISNUMBER(SEARCH("Rapid",$L91)),7/6,1) *
IF(OR(ISNUMBER(SEARCH("Beam",$L91)),ISNUMBER(SEARCH("Firestorm",$L91))),1, IF(ISNUMBER(SEARCH("Blast",$L91)),(4+$F91+(2-$F91)*0.5)/6*2,(4+$F91)/6)) *
IF(ISNUMBER(SEARCH("Fusion",$L91)), _xlfn.IFS(AB$24-$I91 &lt;=1, 9/10, AB$24-$I91 &lt;=10,(11-(AB$24-$I91))/10, AB$24-$I91 &gt;=11, 0),
_xlfn.IFS(AB$24-$I91 &lt;=1, 5/6, AB$24-$I91 &lt;=5, (7-(AB$24-$I91))/6, AND(AB$24-$I91 =6,NOT(_xlfn.IFNA(ISNUMBER(SEARCH("Rending",$L91)),FALSE))), (7-(AB$24-$I91))/6, AND(AB$24-$I91 &gt;=7,NOT(_xlfn.IFNA(ISNUMBER(SEARCH("Rending",$L91)),FALSE))), 0, AB$24-$I91 =7, (7-(AB$24-1-$I91))/6, AB$24-$I91 =8, (7-(AB$24-2-$I91))/6*2/3, AB$24-$I91 =9, (7-(AB$24-3-$I91))/6*1/3, TRUE, 0)) *
IF(ISNUMBER(SEARCH("Ordinance",$L91)),7/6,1) *
IF(OR(ISNUMBER(SEARCH("Melee",$L91)),ISNUMBER(SEARCH("Bypass",$L91))),1.5,1)</f>
        <v>1.7777777777777777</v>
      </c>
      <c r="AC91" s="17" cm="1">
        <f t="array" ref="AC91">$H91 *
IF(ISNUMBER(SEARCH("Rapid",$L91)),7/6,1) *
IF(OR(ISNUMBER(SEARCH("Beam",$L91)),ISNUMBER(SEARCH("Firestorm",$L91))),1, IF(ISNUMBER(SEARCH("Blast",$L91)),(4+$F91+(2-$F91)*0.5)/6*2,(4+$F91)/6)) *
IF(ISNUMBER(SEARCH("Fusion",$L91)), _xlfn.IFS(AC$24-$I91 &lt;=1, 9/10, AC$24-$I91 &lt;=10,(11-(AC$24-$I91))/10, AC$24-$I91 &gt;=11, 0),
_xlfn.IFS(AC$24-$I91 &lt;=1, 5/6, AC$24-$I91 &lt;=5, (7-(AC$24-$I91))/6, AND(AC$24-$I91 =6,NOT(_xlfn.IFNA(ISNUMBER(SEARCH("Rending",$L91)),FALSE))), (7-(AC$24-$I91))/6, AND(AC$24-$I91 &gt;=7,NOT(_xlfn.IFNA(ISNUMBER(SEARCH("Rending",$L91)),FALSE))), 0, AC$24-$I91 =7, (7-(AC$24-1-$I91))/6, AC$24-$I91 =8, (7-(AC$24-2-$I91))/6*2/3, AC$24-$I91 =9, (7-(AC$24-3-$I91))/6*1/3, TRUE, 0)) *
IF(ISNUMBER(SEARCH("Ordinance",$L91)),7/6,1) *
IF(OR(ISNUMBER(SEARCH("Melee",$L91)),ISNUMBER(SEARCH("Bypass",$L91))),1.5,1)</f>
        <v>1.3333333333333333</v>
      </c>
      <c r="AD91" s="17" cm="1">
        <f t="array" ref="AD91">$H91 *
IF(ISNUMBER(SEARCH("Rapid",$L91)),7/6,1) *
IF(OR(ISNUMBER(SEARCH("Beam",$L91)),ISNUMBER(SEARCH("Firestorm",$L91))),1, IF(ISNUMBER(SEARCH("Blast",$L91)),(4+$F91+(2-$F91)*0.5)/6*2,(4+$F91)/6)) *
IF(ISNUMBER(SEARCH("Fusion",$L91)), _xlfn.IFS(AD$24-$I91 &lt;=1, 9/10, AD$24-$I91 &lt;=10,(11-(AD$24-$I91))/10, AD$24-$I91 &gt;=11, 0),
_xlfn.IFS(AD$24-$I91 &lt;=1, 5/6, AD$24-$I91 &lt;=5, (7-(AD$24-$I91))/6, AND(AD$24-$I91 =6,NOT(_xlfn.IFNA(ISNUMBER(SEARCH("Rending",$L91)),FALSE))), (7-(AD$24-$I91))/6, AND(AD$24-$I91 &gt;=7,NOT(_xlfn.IFNA(ISNUMBER(SEARCH("Rending",$L91)),FALSE))), 0, AD$24-$I91 =7, (7-(AD$24-1-$I91))/6, AD$24-$I91 =8, (7-(AD$24-2-$I91))/6*2/3, AD$24-$I91 =9, (7-(AD$24-3-$I91))/6*1/3, TRUE, 0)) *
IF(ISNUMBER(SEARCH("Ordinance",$L91)),7/6,1) *
IF(OR(ISNUMBER(SEARCH("Melee",$L91)),ISNUMBER(SEARCH("Bypass",$L91))),1.5,1)</f>
        <v>0.88888888888888884</v>
      </c>
      <c r="AE91" s="17" cm="1">
        <f t="array" ref="AE91">$H91 *
IF(ISNUMBER(SEARCH("Rapid",$L91)),7/6,1) *
IF(OR(ISNUMBER(SEARCH("Beam",$L91)),ISNUMBER(SEARCH("Firestorm",$L91))),1, IF(ISNUMBER(SEARCH("Blast",$L91)),(4+$F91+(2-$F91)*0.5)/6*2,(4+$F91)/6)) *
IF(ISNUMBER(SEARCH("Fusion",$L91)), _xlfn.IFS(AE$24-$I91 &lt;=1, 9/10, AE$24-$I91 &lt;=10,(11-(AE$24-$I91))/10, AE$24-$I91 &gt;=11, 0),
_xlfn.IFS(AE$24-$I91 &lt;=1, 5/6, AE$24-$I91 &lt;=5, (7-(AE$24-$I91))/6, AND(AE$24-$I91 =6,NOT(_xlfn.IFNA(ISNUMBER(SEARCH("Rending",$L91)),FALSE))), (7-(AE$24-$I91))/6, AND(AE$24-$I91 &gt;=7,NOT(_xlfn.IFNA(ISNUMBER(SEARCH("Rending",$L91)),FALSE))), 0, AE$24-$I91 =7, (7-(AE$24-1-$I91))/6, AE$24-$I91 =8, (7-(AE$24-2-$I91))/6*2/3, AE$24-$I91 =9, (7-(AE$24-3-$I91))/6*1/3, TRUE, 0)) *
IF(ISNUMBER(SEARCH("Ordinance",$L91)),7/6,1) *
IF(OR(ISNUMBER(SEARCH("Melee",$L91)),ISNUMBER(SEARCH("Bypass",$L91))),1.5,1)</f>
        <v>0.44444444444444442</v>
      </c>
      <c r="AF91" s="17" cm="1">
        <f t="array" ref="AF91">$H91 *
IF(ISNUMBER(SEARCH("Rapid",$L91)),7/6,1) *
IF(OR(ISNUMBER(SEARCH("Beam",$L91)),ISNUMBER(SEARCH("Firestorm",$L91))),1, IF(ISNUMBER(SEARCH("Blast",$L91)),(4+$F91+(2-$F91)*0.5)/6*2,(4+$F91)/6)) *
IF(ISNUMBER(SEARCH("Fusion",$L91)), _xlfn.IFS(AF$24-$I91 &lt;=1, 9/10, AF$24-$I91 &lt;=10,(11-(AF$24-$I91))/10, AF$24-$I91 &gt;=11, 0),
_xlfn.IFS(AF$24-$I91 &lt;=1, 5/6, AF$24-$I91 &lt;=5, (7-(AF$24-$I91))/6, AND(AF$24-$I91 =6,NOT(_xlfn.IFNA(ISNUMBER(SEARCH("Rending",$L91)),FALSE))), (7-(AF$24-$I91))/6, AND(AF$24-$I91 &gt;=7,NOT(_xlfn.IFNA(ISNUMBER(SEARCH("Rending",$L91)),FALSE))), 0, AF$24-$I91 =7, (7-(AF$24-1-$I91))/6, AF$24-$I91 =8, (7-(AF$24-2-$I91))/6*2/3, AF$24-$I91 =9, (7-(AF$24-3-$I91))/6*1/3, TRUE, 0)) *
IF(ISNUMBER(SEARCH("Ordinance",$L91)),7/6,1) *
IF(OR(ISNUMBER(SEARCH("Melee",$L91)),ISNUMBER(SEARCH("Bypass",$L91))),1.5,1)</f>
        <v>0</v>
      </c>
      <c r="AG91" s="16">
        <f t="shared" si="22"/>
        <v>0.88888888888888884</v>
      </c>
      <c r="AH91" s="16">
        <f t="shared" si="23"/>
        <v>1.3333333333333333</v>
      </c>
      <c r="AI91" s="17" cm="1">
        <f t="array" ref="AI91">$H91 *
IF(ISNUMBER(SEARCH("Rapid",$L91)),7/6,1) *
IF(OR(ISNUMBER(SEARCH("Beam",$L91)),ISNUMBER(SEARCH("Firestorm",$L91))),1, IF(ISNUMBER(SEARCH("Blast",$L91)),(4+$G91+(2-$G91)*0.5)/6*2,(4+$G91)/6)) *
_xlfn.IFS(AI$24-$I91 &lt;=1, 5/6, AI$24-$I91 &lt;=5, (7-(AI$24-$I91))/6, AND(AI$24-$I91 =6,NOT(_xlfn.IFNA(ISNUMBER(SEARCH("Rending",$L91)),FALSE))), (7-(AI$24-$I91))/6, AND(AI$24-$I91 &gt;=7,NOT(_xlfn.IFNA(ISNUMBER(SEARCH("Rending",$L91)),FALSE))), 0, AI$24-$I91 =7, (7-(AI$24-1-$I91))/6, AI$24-$I91 =8, (7-(AI$24-2-$I91))/6*2/3, AI$24-$I91 =9, (7-(AI$24-3-$I91))/6*1/3, TRUE, 0) *
IF(ISNUMBER(SEARCH("Ordinance",$L91)),7/6,1) *
IF(OR(ISNUMBER(SEARCH("Melee",$L91)),ISNUMBER(SEARCH("Bypass",$L91))),1.5,1)</f>
        <v>2.2222222222222223</v>
      </c>
      <c r="AJ91" s="17" cm="1">
        <f t="array" ref="AJ91">$H91 *
IF(ISNUMBER(SEARCH("Rapid",$L91)),7/6,1) *
IF(OR(ISNUMBER(SEARCH("Beam",$L91)),ISNUMBER(SEARCH("Firestorm",$L91))),1, IF(ISNUMBER(SEARCH("Blast",$L91)),(4+$G91+(2-$G91)*0.5)/6*2,(4+$G91)/6)) *
_xlfn.IFS(AJ$24-$I91 &lt;=1, 5/6, AJ$24-$I91 &lt;=5, (7-(AJ$24-$I91))/6, AND(AJ$24-$I91 =6,NOT(_xlfn.IFNA(ISNUMBER(SEARCH("Rending",$L91)),FALSE))), (7-(AJ$24-$I91))/6, AND(AJ$24-$I91 &gt;=7,NOT(_xlfn.IFNA(ISNUMBER(SEARCH("Rending",$L91)),FALSE))), 0, AJ$24-$I91 =7, (7-(AJ$24-1-$I91))/6, AJ$24-$I91 =8, (7-(AJ$24-2-$I91))/6*2/3, AJ$24-$I91 =9, (7-(AJ$24-3-$I91))/6*1/3, TRUE, 0) *
IF(ISNUMBER(SEARCH("Ordinance",$L91)),7/6,1) *
IF(OR(ISNUMBER(SEARCH("Melee",$L91)),ISNUMBER(SEARCH("Bypass",$L91))),1.5,1)</f>
        <v>2.2222222222222223</v>
      </c>
      <c r="AK91" s="17" cm="1">
        <f t="array" ref="AK91">$H91 *
IF(ISNUMBER(SEARCH("Rapid",$L91)),7/6,1) *
IF(OR(ISNUMBER(SEARCH("Beam",$L91)),ISNUMBER(SEARCH("Firestorm",$L91))),1, IF(ISNUMBER(SEARCH("Blast",$L91)),(4+$G91+(2-$G91)*0.5)/6*2,(4+$G91)/6)) *
_xlfn.IFS(AK$24-$I91 &lt;=1, 5/6, AK$24-$I91 &lt;=5, (7-(AK$24-$I91))/6, AND(AK$24-$I91 =6,NOT(_xlfn.IFNA(ISNUMBER(SEARCH("Rending",$L91)),FALSE))), (7-(AK$24-$I91))/6, AND(AK$24-$I91 &gt;=7,NOT(_xlfn.IFNA(ISNUMBER(SEARCH("Rending",$L91)),FALSE))), 0, AK$24-$I91 =7, (7-(AK$24-1-$I91))/6, AK$24-$I91 =8, (7-(AK$24-2-$I91))/6*2/3, AK$24-$I91 =9, (7-(AK$24-3-$I91))/6*1/3, TRUE, 0) *
IF(ISNUMBER(SEARCH("Ordinance",$L91)),7/6,1) *
IF(OR(ISNUMBER(SEARCH("Melee",$L91)),ISNUMBER(SEARCH("Bypass",$L91))),1.5,1)</f>
        <v>2.2222222222222223</v>
      </c>
      <c r="AL91" s="17" cm="1">
        <f t="array" ref="AL91">$H91 *
IF(ISNUMBER(SEARCH("Rapid",$L91)),7/6,1) *
IF(OR(ISNUMBER(SEARCH("Beam",$L91)),ISNUMBER(SEARCH("Firestorm",$L91))),1, IF(ISNUMBER(SEARCH("Blast",$L91)),(4+$G91+(2-$G91)*0.5)/6*2,(4+$G91)/6)) *
_xlfn.IFS(AL$24-$I91 &lt;=1, 5/6, AL$24-$I91 &lt;=5, (7-(AL$24-$I91))/6, AND(AL$24-$I91 =6,NOT(_xlfn.IFNA(ISNUMBER(SEARCH("Rending",$L91)),FALSE))), (7-(AL$24-$I91))/6, AND(AL$24-$I91 &gt;=7,NOT(_xlfn.IFNA(ISNUMBER(SEARCH("Rending",$L91)),FALSE))), 0, AL$24-$I91 =7, (7-(AL$24-1-$I91))/6, AL$24-$I91 =8, (7-(AL$24-2-$I91))/6*2/3, AL$24-$I91 =9, (7-(AL$24-3-$I91))/6*1/3, TRUE, 0) *
IF(ISNUMBER(SEARCH("Ordinance",$L91)),7/6,1) *
IF(OR(ISNUMBER(SEARCH("Melee",$L91)),ISNUMBER(SEARCH("Bypass",$L91))),1.5,1)</f>
        <v>2.2222222222222223</v>
      </c>
      <c r="AM91" s="17" cm="1">
        <f t="array" ref="AM91">$H91 *
IF(ISNUMBER(SEARCH("Rapid",$L91)),7/6,1) *
IF(OR(ISNUMBER(SEARCH("Beam",$L91)),ISNUMBER(SEARCH("Firestorm",$L91))),1, IF(ISNUMBER(SEARCH("Blast",$L91)),(4+$G91+(2-$G91)*0.5)/6*2,(4+$G91)/6)) *
_xlfn.IFS(AM$24-$I91 &lt;=1, 5/6, AM$24-$I91 &lt;=5, (7-(AM$24-$I91))/6, AND(AM$24-$I91 =6,NOT(_xlfn.IFNA(ISNUMBER(SEARCH("Rending",$L91)),FALSE))), (7-(AM$24-$I91))/6, AND(AM$24-$I91 &gt;=7,NOT(_xlfn.IFNA(ISNUMBER(SEARCH("Rending",$L91)),FALSE))), 0, AM$24-$I91 =7, (7-(AM$24-1-$I91))/6, AM$24-$I91 =8, (7-(AM$24-2-$I91))/6*2/3, AM$24-$I91 =9, (7-(AM$24-3-$I91))/6*1/3, TRUE, 0) *
IF(ISNUMBER(SEARCH("Ordinance",$L91)),7/6,1) *
IF(OR(ISNUMBER(SEARCH("Melee",$L91)),ISNUMBER(SEARCH("Bypass",$L91))),1.5,1)</f>
        <v>1.7777777777777777</v>
      </c>
      <c r="AN91" s="17" cm="1">
        <f t="array" ref="AN91">$H91 *
IF(ISNUMBER(SEARCH("Rapid",$L91)),7/6,1) *
IF(OR(ISNUMBER(SEARCH("Beam",$L91)),ISNUMBER(SEARCH("Firestorm",$L91))),1, IF(ISNUMBER(SEARCH("Blast",$L91)),(4+$G91+(2-$G91)*0.5)/6*2,(4+$G91)/6)) *
_xlfn.IFS(AN$24-$I91 &lt;=1, 5/6, AN$24-$I91 &lt;=5, (7-(AN$24-$I91))/6, AND(AN$24-$I91 =6,NOT(_xlfn.IFNA(ISNUMBER(SEARCH("Rending",$L91)),FALSE))), (7-(AN$24-$I91))/6, AND(AN$24-$I91 &gt;=7,NOT(_xlfn.IFNA(ISNUMBER(SEARCH("Rending",$L91)),FALSE))), 0, AN$24-$I91 =7, (7-(AN$24-1-$I91))/6, AN$24-$I91 =8, (7-(AN$24-2-$I91))/6*2/3, AN$24-$I91 =9, (7-(AN$24-3-$I91))/6*1/3, TRUE, 0) *
IF(ISNUMBER(SEARCH("Ordinance",$L91)),7/6,1) *
IF(OR(ISNUMBER(SEARCH("Melee",$L91)),ISNUMBER(SEARCH("Bypass",$L91))),1.5,1)</f>
        <v>1.3333333333333333</v>
      </c>
      <c r="AO91" s="17" cm="1">
        <f t="array" ref="AO91">$H91 *
IF(ISNUMBER(SEARCH("Rapid",$L91)),7/6,1) *
IF(OR(ISNUMBER(SEARCH("Beam",$L91)),ISNUMBER(SEARCH("Firestorm",$L91))),1, IF(ISNUMBER(SEARCH("Blast",$L91)),(4+$G91+(2-$G91)*0.5)/6*2,(4+$G91)/6)) *
_xlfn.IFS(AO$24-$I91 &lt;=1, 5/6, AO$24-$I91 &lt;=5, (7-(AO$24-$I91))/6, AND(AO$24-$I91 =6,NOT(_xlfn.IFNA(ISNUMBER(SEARCH("Rending",$L91)),FALSE))), (7-(AO$24-$I91))/6, AND(AO$24-$I91 &gt;=7,NOT(_xlfn.IFNA(ISNUMBER(SEARCH("Rending",$L91)),FALSE))), 0, AO$24-$I91 =7, (7-(AO$24-1-$I91))/6, AO$24-$I91 =8, (7-(AO$24-2-$I91))/6*2/3, AO$24-$I91 =9, (7-(AO$24-3-$I91))/6*1/3, TRUE, 0) *
IF(ISNUMBER(SEARCH("Ordinance",$L91)),7/6,1) *
IF(OR(ISNUMBER(SEARCH("Melee",$L91)),ISNUMBER(SEARCH("Bypass",$L91))),1.5,1)</f>
        <v>0.88888888888888884</v>
      </c>
      <c r="AP91" s="17" cm="1">
        <f t="array" ref="AP91">$H91 *
IF(ISNUMBER(SEARCH("Rapid",$L91)),7/6,1) *
IF(OR(ISNUMBER(SEARCH("Beam",$L91)),ISNUMBER(SEARCH("Firestorm",$L91))),1, IF(ISNUMBER(SEARCH("Blast",$L91)),(4+$G91+(2-$G91)*0.5)/6*2,(4+$G91)/6)) *
_xlfn.IFS(AP$24-$I91 &lt;=1, 5/6, AP$24-$I91 &lt;=5, (7-(AP$24-$I91))/6, AND(AP$24-$I91 =6,NOT(_xlfn.IFNA(ISNUMBER(SEARCH("Rending",$L91)),FALSE))), (7-(AP$24-$I91))/6, AND(AP$24-$I91 &gt;=7,NOT(_xlfn.IFNA(ISNUMBER(SEARCH("Rending",$L91)),FALSE))), 0, AP$24-$I91 =7, (7-(AP$24-1-$I91))/6, AP$24-$I91 =8, (7-(AP$24-2-$I91))/6*2/3, AP$24-$I91 =9, (7-(AP$24-3-$I91))/6*1/3, TRUE, 0) *
IF(ISNUMBER(SEARCH("Ordinance",$L91)),7/6,1) *
IF(OR(ISNUMBER(SEARCH("Melee",$L91)),ISNUMBER(SEARCH("Bypass",$L91))),1.5,1)</f>
        <v>0.44444444444444442</v>
      </c>
      <c r="AQ91" s="17" cm="1">
        <f t="array" ref="AQ91">$H91 *
IF(ISNUMBER(SEARCH("Rapid",$L91)),7/6,1) *
IF(OR(ISNUMBER(SEARCH("Beam",$L91)),ISNUMBER(SEARCH("Firestorm",$L91))),1, IF(ISNUMBER(SEARCH("Blast",$L91)),(4+$G91+(2-$G91)*0.5)/6*2,(4+$G91)/6)) *
_xlfn.IFS(AQ$24-$I91 &lt;=1, 5/6, AQ$24-$I91 &lt;=5, (7-(AQ$24-$I91))/6, AND(AQ$24-$I91 =6,NOT(_xlfn.IFNA(ISNUMBER(SEARCH("Rending",$L91)),FALSE))), (7-(AQ$24-$I91))/6, AND(AQ$24-$I91 &gt;=7,NOT(_xlfn.IFNA(ISNUMBER(SEARCH("Rending",$L91)),FALSE))), 0, AQ$24-$I91 =7, (7-(AQ$24-1-$I91))/6, AQ$24-$I91 =8, (7-(AQ$24-2-$I91))/6*2/3, AQ$24-$I91 =9, (7-(AQ$24-3-$I91))/6*1/3, TRUE, 0) *
IF(ISNUMBER(SEARCH("Ordinance",$L91)),7/6,1) *
IF(OR(ISNUMBER(SEARCH("Melee",$L91)),ISNUMBER(SEARCH("Bypass",$L91))),1.5,1)</f>
        <v>0</v>
      </c>
      <c r="AS91" s="16">
        <f t="shared" si="26"/>
        <v>0.88888888888888884</v>
      </c>
      <c r="AT91" s="16">
        <f t="shared" si="27"/>
        <v>1.3333333333333333</v>
      </c>
      <c r="AU91" s="16">
        <f t="shared" si="28"/>
        <v>1.1481481481481481</v>
      </c>
      <c r="AV91" s="2">
        <v>12</v>
      </c>
    </row>
    <row r="92" spans="1:48" x14ac:dyDescent="0.3">
      <c r="A92" t="s">
        <v>231</v>
      </c>
      <c r="B92" s="3">
        <v>24</v>
      </c>
      <c r="C92" s="3">
        <v>72</v>
      </c>
      <c r="D92" s="3">
        <v>1</v>
      </c>
      <c r="E92" s="3">
        <v>2</v>
      </c>
      <c r="F92" s="10">
        <v>-1</v>
      </c>
      <c r="G92" s="10">
        <v>0</v>
      </c>
      <c r="H92" s="3">
        <v>1</v>
      </c>
      <c r="I92" s="3">
        <v>9</v>
      </c>
      <c r="J92" s="3" t="s">
        <v>248</v>
      </c>
      <c r="K92" s="3">
        <v>20</v>
      </c>
      <c r="L92" s="3" t="s">
        <v>253</v>
      </c>
      <c r="M92" s="3" t="s">
        <v>199</v>
      </c>
      <c r="N92" s="3">
        <v>11</v>
      </c>
      <c r="O92" s="3">
        <v>11</v>
      </c>
      <c r="P92" s="3">
        <v>15</v>
      </c>
      <c r="Q92" s="3" t="s">
        <v>200</v>
      </c>
      <c r="R92" s="3">
        <v>7</v>
      </c>
      <c r="S92" s="3">
        <v>9</v>
      </c>
      <c r="T92" s="3">
        <v>3</v>
      </c>
      <c r="V92" s="16">
        <f t="shared" si="20"/>
        <v>0.5</v>
      </c>
      <c r="W92" s="16">
        <f t="shared" si="21"/>
        <v>0.75</v>
      </c>
      <c r="X92" s="17" cm="1">
        <f t="array" ref="X92">$H92 *
IF(ISNUMBER(SEARCH("Rapid",$L92)),7/6,1) *
IF(OR(ISNUMBER(SEARCH("Beam",$L92)),ISNUMBER(SEARCH("Firestorm",$L92))),1, IF(ISNUMBER(SEARCH("Blast",$L92)),(4+$F92+(2-$F92)*0.5)/6*2,(4+$F92)/6)) *
IF(ISNUMBER(SEARCH("Fusion",$L92)), _xlfn.IFS(X$24-$I92 &lt;=1, 9/10, X$24-$I92 &lt;=10,(11-(X$24-$I92))/10, X$24-$I92 &gt;=11, 0),
_xlfn.IFS(X$24-$I92 &lt;=1, 5/6, X$24-$I92 &lt;=5, (7-(X$24-$I92))/6, AND(X$24-$I92 =6,NOT(_xlfn.IFNA(ISNUMBER(SEARCH("Rending",$L92)),FALSE))), (7-(X$24-$I92))/6, AND(X$24-$I92 &gt;=7,NOT(_xlfn.IFNA(ISNUMBER(SEARCH("Rending",$L92)),FALSE))), 0, X$24-$I92 =7, (7-(X$24-1-$I92))/6, X$24-$I92 =8, (7-(X$24-2-$I92))/6*2/3, X$24-$I92 =9, (7-(X$24-3-$I92))/6*1/3, TRUE, 0)) *
IF(ISNUMBER(SEARCH("Ordinance",$L92)),7/6,1) *
IF(OR(ISNUMBER(SEARCH("Melee",$L92)),ISNUMBER(SEARCH("Bypass",$L92))),1.5,1)</f>
        <v>1.25</v>
      </c>
      <c r="Y92" s="17" cm="1">
        <f t="array" ref="Y92">$H92 *
IF(ISNUMBER(SEARCH("Rapid",$L92)),7/6,1) *
IF(OR(ISNUMBER(SEARCH("Beam",$L92)),ISNUMBER(SEARCH("Firestorm",$L92))),1, IF(ISNUMBER(SEARCH("Blast",$L92)),(4+$F92+(2-$F92)*0.5)/6*2,(4+$F92)/6)) *
IF(ISNUMBER(SEARCH("Fusion",$L92)), _xlfn.IFS(Y$24-$I92 &lt;=1, 9/10, Y$24-$I92 &lt;=10,(11-(Y$24-$I92))/10, Y$24-$I92 &gt;=11, 0),
_xlfn.IFS(Y$24-$I92 &lt;=1, 5/6, Y$24-$I92 &lt;=5, (7-(Y$24-$I92))/6, AND(Y$24-$I92 =6,NOT(_xlfn.IFNA(ISNUMBER(SEARCH("Rending",$L92)),FALSE))), (7-(Y$24-$I92))/6, AND(Y$24-$I92 &gt;=7,NOT(_xlfn.IFNA(ISNUMBER(SEARCH("Rending",$L92)),FALSE))), 0, Y$24-$I92 =7, (7-(Y$24-1-$I92))/6, Y$24-$I92 =8, (7-(Y$24-2-$I92))/6*2/3, Y$24-$I92 =9, (7-(Y$24-3-$I92))/6*1/3, TRUE, 0)) *
IF(ISNUMBER(SEARCH("Ordinance",$L92)),7/6,1) *
IF(OR(ISNUMBER(SEARCH("Melee",$L92)),ISNUMBER(SEARCH("Bypass",$L92))),1.5,1)</f>
        <v>1.25</v>
      </c>
      <c r="Z92" s="17" cm="1">
        <f t="array" ref="Z92">$H92 *
IF(ISNUMBER(SEARCH("Rapid",$L92)),7/6,1) *
IF(OR(ISNUMBER(SEARCH("Beam",$L92)),ISNUMBER(SEARCH("Firestorm",$L92))),1, IF(ISNUMBER(SEARCH("Blast",$L92)),(4+$F92+(2-$F92)*0.5)/6*2,(4+$F92)/6)) *
IF(ISNUMBER(SEARCH("Fusion",$L92)), _xlfn.IFS(Z$24-$I92 &lt;=1, 9/10, Z$24-$I92 &lt;=10,(11-(Z$24-$I92))/10, Z$24-$I92 &gt;=11, 0),
_xlfn.IFS(Z$24-$I92 &lt;=1, 5/6, Z$24-$I92 &lt;=5, (7-(Z$24-$I92))/6, AND(Z$24-$I92 =6,NOT(_xlfn.IFNA(ISNUMBER(SEARCH("Rending",$L92)),FALSE))), (7-(Z$24-$I92))/6, AND(Z$24-$I92 &gt;=7,NOT(_xlfn.IFNA(ISNUMBER(SEARCH("Rending",$L92)),FALSE))), 0, Z$24-$I92 =7, (7-(Z$24-1-$I92))/6, Z$24-$I92 =8, (7-(Z$24-2-$I92))/6*2/3, Z$24-$I92 =9, (7-(Z$24-3-$I92))/6*1/3, TRUE, 0)) *
IF(ISNUMBER(SEARCH("Ordinance",$L92)),7/6,1) *
IF(OR(ISNUMBER(SEARCH("Melee",$L92)),ISNUMBER(SEARCH("Bypass",$L92))),1.5,1)</f>
        <v>1.25</v>
      </c>
      <c r="AA92" s="17" cm="1">
        <f t="array" ref="AA92">$H92 *
IF(ISNUMBER(SEARCH("Rapid",$L92)),7/6,1) *
IF(OR(ISNUMBER(SEARCH("Beam",$L92)),ISNUMBER(SEARCH("Firestorm",$L92))),1, IF(ISNUMBER(SEARCH("Blast",$L92)),(4+$F92+(2-$F92)*0.5)/6*2,(4+$F92)/6)) *
IF(ISNUMBER(SEARCH("Fusion",$L92)), _xlfn.IFS(AA$24-$I92 &lt;=1, 9/10, AA$24-$I92 &lt;=10,(11-(AA$24-$I92))/10, AA$24-$I92 &gt;=11, 0),
_xlfn.IFS(AA$24-$I92 &lt;=1, 5/6, AA$24-$I92 &lt;=5, (7-(AA$24-$I92))/6, AND(AA$24-$I92 =6,NOT(_xlfn.IFNA(ISNUMBER(SEARCH("Rending",$L92)),FALSE))), (7-(AA$24-$I92))/6, AND(AA$24-$I92 &gt;=7,NOT(_xlfn.IFNA(ISNUMBER(SEARCH("Rending",$L92)),FALSE))), 0, AA$24-$I92 =7, (7-(AA$24-1-$I92))/6, AA$24-$I92 =8, (7-(AA$24-2-$I92))/6*2/3, AA$24-$I92 =9, (7-(AA$24-3-$I92))/6*1/3, TRUE, 0)) *
IF(ISNUMBER(SEARCH("Ordinance",$L92)),7/6,1) *
IF(OR(ISNUMBER(SEARCH("Melee",$L92)),ISNUMBER(SEARCH("Bypass",$L92))),1.5,1)</f>
        <v>1</v>
      </c>
      <c r="AB92" s="17" cm="1">
        <f t="array" ref="AB92">$H92 *
IF(ISNUMBER(SEARCH("Rapid",$L92)),7/6,1) *
IF(OR(ISNUMBER(SEARCH("Beam",$L92)),ISNUMBER(SEARCH("Firestorm",$L92))),1, IF(ISNUMBER(SEARCH("Blast",$L92)),(4+$F92+(2-$F92)*0.5)/6*2,(4+$F92)/6)) *
IF(ISNUMBER(SEARCH("Fusion",$L92)), _xlfn.IFS(AB$24-$I92 &lt;=1, 9/10, AB$24-$I92 &lt;=10,(11-(AB$24-$I92))/10, AB$24-$I92 &gt;=11, 0),
_xlfn.IFS(AB$24-$I92 &lt;=1, 5/6, AB$24-$I92 &lt;=5, (7-(AB$24-$I92))/6, AND(AB$24-$I92 =6,NOT(_xlfn.IFNA(ISNUMBER(SEARCH("Rending",$L92)),FALSE))), (7-(AB$24-$I92))/6, AND(AB$24-$I92 &gt;=7,NOT(_xlfn.IFNA(ISNUMBER(SEARCH("Rending",$L92)),FALSE))), 0, AB$24-$I92 =7, (7-(AB$24-1-$I92))/6, AB$24-$I92 =8, (7-(AB$24-2-$I92))/6*2/3, AB$24-$I92 =9, (7-(AB$24-3-$I92))/6*1/3, TRUE, 0)) *
IF(ISNUMBER(SEARCH("Ordinance",$L92)),7/6,1) *
IF(OR(ISNUMBER(SEARCH("Melee",$L92)),ISNUMBER(SEARCH("Bypass",$L92))),1.5,1)</f>
        <v>0.75</v>
      </c>
      <c r="AC92" s="17" cm="1">
        <f t="array" ref="AC92">$H92 *
IF(ISNUMBER(SEARCH("Rapid",$L92)),7/6,1) *
IF(OR(ISNUMBER(SEARCH("Beam",$L92)),ISNUMBER(SEARCH("Firestorm",$L92))),1, IF(ISNUMBER(SEARCH("Blast",$L92)),(4+$F92+(2-$F92)*0.5)/6*2,(4+$F92)/6)) *
IF(ISNUMBER(SEARCH("Fusion",$L92)), _xlfn.IFS(AC$24-$I92 &lt;=1, 9/10, AC$24-$I92 &lt;=10,(11-(AC$24-$I92))/10, AC$24-$I92 &gt;=11, 0),
_xlfn.IFS(AC$24-$I92 &lt;=1, 5/6, AC$24-$I92 &lt;=5, (7-(AC$24-$I92))/6, AND(AC$24-$I92 =6,NOT(_xlfn.IFNA(ISNUMBER(SEARCH("Rending",$L92)),FALSE))), (7-(AC$24-$I92))/6, AND(AC$24-$I92 &gt;=7,NOT(_xlfn.IFNA(ISNUMBER(SEARCH("Rending",$L92)),FALSE))), 0, AC$24-$I92 =7, (7-(AC$24-1-$I92))/6, AC$24-$I92 =8, (7-(AC$24-2-$I92))/6*2/3, AC$24-$I92 =9, (7-(AC$24-3-$I92))/6*1/3, TRUE, 0)) *
IF(ISNUMBER(SEARCH("Ordinance",$L92)),7/6,1) *
IF(OR(ISNUMBER(SEARCH("Melee",$L92)),ISNUMBER(SEARCH("Bypass",$L92))),1.5,1)</f>
        <v>0.5</v>
      </c>
      <c r="AD92" s="17" cm="1">
        <f t="array" ref="AD92">$H92 *
IF(ISNUMBER(SEARCH("Rapid",$L92)),7/6,1) *
IF(OR(ISNUMBER(SEARCH("Beam",$L92)),ISNUMBER(SEARCH("Firestorm",$L92))),1, IF(ISNUMBER(SEARCH("Blast",$L92)),(4+$F92+(2-$F92)*0.5)/6*2,(4+$F92)/6)) *
IF(ISNUMBER(SEARCH("Fusion",$L92)), _xlfn.IFS(AD$24-$I92 &lt;=1, 9/10, AD$24-$I92 &lt;=10,(11-(AD$24-$I92))/10, AD$24-$I92 &gt;=11, 0),
_xlfn.IFS(AD$24-$I92 &lt;=1, 5/6, AD$24-$I92 &lt;=5, (7-(AD$24-$I92))/6, AND(AD$24-$I92 =6,NOT(_xlfn.IFNA(ISNUMBER(SEARCH("Rending",$L92)),FALSE))), (7-(AD$24-$I92))/6, AND(AD$24-$I92 &gt;=7,NOT(_xlfn.IFNA(ISNUMBER(SEARCH("Rending",$L92)),FALSE))), 0, AD$24-$I92 =7, (7-(AD$24-1-$I92))/6, AD$24-$I92 =8, (7-(AD$24-2-$I92))/6*2/3, AD$24-$I92 =9, (7-(AD$24-3-$I92))/6*1/3, TRUE, 0)) *
IF(ISNUMBER(SEARCH("Ordinance",$L92)),7/6,1) *
IF(OR(ISNUMBER(SEARCH("Melee",$L92)),ISNUMBER(SEARCH("Bypass",$L92))),1.5,1)</f>
        <v>0.25</v>
      </c>
      <c r="AE92" s="17" cm="1">
        <f t="array" ref="AE92">$H92 *
IF(ISNUMBER(SEARCH("Rapid",$L92)),7/6,1) *
IF(OR(ISNUMBER(SEARCH("Beam",$L92)),ISNUMBER(SEARCH("Firestorm",$L92))),1, IF(ISNUMBER(SEARCH("Blast",$L92)),(4+$F92+(2-$F92)*0.5)/6*2,(4+$F92)/6)) *
IF(ISNUMBER(SEARCH("Fusion",$L92)), _xlfn.IFS(AE$24-$I92 &lt;=1, 9/10, AE$24-$I92 &lt;=10,(11-(AE$24-$I92))/10, AE$24-$I92 &gt;=11, 0),
_xlfn.IFS(AE$24-$I92 &lt;=1, 5/6, AE$24-$I92 &lt;=5, (7-(AE$24-$I92))/6, AND(AE$24-$I92 =6,NOT(_xlfn.IFNA(ISNUMBER(SEARCH("Rending",$L92)),FALSE))), (7-(AE$24-$I92))/6, AND(AE$24-$I92 &gt;=7,NOT(_xlfn.IFNA(ISNUMBER(SEARCH("Rending",$L92)),FALSE))), 0, AE$24-$I92 =7, (7-(AE$24-1-$I92))/6, AE$24-$I92 =8, (7-(AE$24-2-$I92))/6*2/3, AE$24-$I92 =9, (7-(AE$24-3-$I92))/6*1/3, TRUE, 0)) *
IF(ISNUMBER(SEARCH("Ordinance",$L92)),7/6,1) *
IF(OR(ISNUMBER(SEARCH("Melee",$L92)),ISNUMBER(SEARCH("Bypass",$L92))),1.5,1)</f>
        <v>0</v>
      </c>
      <c r="AF92" s="17" cm="1">
        <f t="array" ref="AF92">$H92 *
IF(ISNUMBER(SEARCH("Rapid",$L92)),7/6,1) *
IF(OR(ISNUMBER(SEARCH("Beam",$L92)),ISNUMBER(SEARCH("Firestorm",$L92))),1, IF(ISNUMBER(SEARCH("Blast",$L92)),(4+$F92+(2-$F92)*0.5)/6*2,(4+$F92)/6)) *
IF(ISNUMBER(SEARCH("Fusion",$L92)), _xlfn.IFS(AF$24-$I92 &lt;=1, 9/10, AF$24-$I92 &lt;=10,(11-(AF$24-$I92))/10, AF$24-$I92 &gt;=11, 0),
_xlfn.IFS(AF$24-$I92 &lt;=1, 5/6, AF$24-$I92 &lt;=5, (7-(AF$24-$I92))/6, AND(AF$24-$I92 =6,NOT(_xlfn.IFNA(ISNUMBER(SEARCH("Rending",$L92)),FALSE))), (7-(AF$24-$I92))/6, AND(AF$24-$I92 &gt;=7,NOT(_xlfn.IFNA(ISNUMBER(SEARCH("Rending",$L92)),FALSE))), 0, AF$24-$I92 =7, (7-(AF$24-1-$I92))/6, AF$24-$I92 =8, (7-(AF$24-2-$I92))/6*2/3, AF$24-$I92 =9, (7-(AF$24-3-$I92))/6*1/3, TRUE, 0)) *
IF(ISNUMBER(SEARCH("Ordinance",$L92)),7/6,1) *
IF(OR(ISNUMBER(SEARCH("Melee",$L92)),ISNUMBER(SEARCH("Bypass",$L92))),1.5,1)</f>
        <v>0</v>
      </c>
      <c r="AG92" s="16">
        <f t="shared" si="22"/>
        <v>0.55555555555555558</v>
      </c>
      <c r="AH92" s="16">
        <f t="shared" si="23"/>
        <v>0.83333333333333337</v>
      </c>
      <c r="AI92" s="17" cm="1">
        <f t="array" ref="AI92">$H92 *
IF(ISNUMBER(SEARCH("Rapid",$L92)),7/6,1) *
IF(OR(ISNUMBER(SEARCH("Beam",$L92)),ISNUMBER(SEARCH("Firestorm",$L92))),1, IF(ISNUMBER(SEARCH("Blast",$L92)),(4+$G92+(2-$G92)*0.5)/6*2,(4+$G92)/6)) *
_xlfn.IFS(AI$24-$I92 &lt;=1, 5/6, AI$24-$I92 &lt;=5, (7-(AI$24-$I92))/6, AND(AI$24-$I92 =6,NOT(_xlfn.IFNA(ISNUMBER(SEARCH("Rending",$L92)),FALSE))), (7-(AI$24-$I92))/6, AND(AI$24-$I92 &gt;=7,NOT(_xlfn.IFNA(ISNUMBER(SEARCH("Rending",$L92)),FALSE))), 0, AI$24-$I92 =7, (7-(AI$24-1-$I92))/6, AI$24-$I92 =8, (7-(AI$24-2-$I92))/6*2/3, AI$24-$I92 =9, (7-(AI$24-3-$I92))/6*1/3, TRUE, 0) *
IF(ISNUMBER(SEARCH("Ordinance",$L92)),7/6,1) *
IF(OR(ISNUMBER(SEARCH("Melee",$L92)),ISNUMBER(SEARCH("Bypass",$L92))),1.5,1)</f>
        <v>1.3888888888888891</v>
      </c>
      <c r="AJ92" s="17" cm="1">
        <f t="array" ref="AJ92">$H92 *
IF(ISNUMBER(SEARCH("Rapid",$L92)),7/6,1) *
IF(OR(ISNUMBER(SEARCH("Beam",$L92)),ISNUMBER(SEARCH("Firestorm",$L92))),1, IF(ISNUMBER(SEARCH("Blast",$L92)),(4+$G92+(2-$G92)*0.5)/6*2,(4+$G92)/6)) *
_xlfn.IFS(AJ$24-$I92 &lt;=1, 5/6, AJ$24-$I92 &lt;=5, (7-(AJ$24-$I92))/6, AND(AJ$24-$I92 =6,NOT(_xlfn.IFNA(ISNUMBER(SEARCH("Rending",$L92)),FALSE))), (7-(AJ$24-$I92))/6, AND(AJ$24-$I92 &gt;=7,NOT(_xlfn.IFNA(ISNUMBER(SEARCH("Rending",$L92)),FALSE))), 0, AJ$24-$I92 =7, (7-(AJ$24-1-$I92))/6, AJ$24-$I92 =8, (7-(AJ$24-2-$I92))/6*2/3, AJ$24-$I92 =9, (7-(AJ$24-3-$I92))/6*1/3, TRUE, 0) *
IF(ISNUMBER(SEARCH("Ordinance",$L92)),7/6,1) *
IF(OR(ISNUMBER(SEARCH("Melee",$L92)),ISNUMBER(SEARCH("Bypass",$L92))),1.5,1)</f>
        <v>1.3888888888888891</v>
      </c>
      <c r="AK92" s="17" cm="1">
        <f t="array" ref="AK92">$H92 *
IF(ISNUMBER(SEARCH("Rapid",$L92)),7/6,1) *
IF(OR(ISNUMBER(SEARCH("Beam",$L92)),ISNUMBER(SEARCH("Firestorm",$L92))),1, IF(ISNUMBER(SEARCH("Blast",$L92)),(4+$G92+(2-$G92)*0.5)/6*2,(4+$G92)/6)) *
_xlfn.IFS(AK$24-$I92 &lt;=1, 5/6, AK$24-$I92 &lt;=5, (7-(AK$24-$I92))/6, AND(AK$24-$I92 =6,NOT(_xlfn.IFNA(ISNUMBER(SEARCH("Rending",$L92)),FALSE))), (7-(AK$24-$I92))/6, AND(AK$24-$I92 &gt;=7,NOT(_xlfn.IFNA(ISNUMBER(SEARCH("Rending",$L92)),FALSE))), 0, AK$24-$I92 =7, (7-(AK$24-1-$I92))/6, AK$24-$I92 =8, (7-(AK$24-2-$I92))/6*2/3, AK$24-$I92 =9, (7-(AK$24-3-$I92))/6*1/3, TRUE, 0) *
IF(ISNUMBER(SEARCH("Ordinance",$L92)),7/6,1) *
IF(OR(ISNUMBER(SEARCH("Melee",$L92)),ISNUMBER(SEARCH("Bypass",$L92))),1.5,1)</f>
        <v>1.3888888888888891</v>
      </c>
      <c r="AL92" s="17" cm="1">
        <f t="array" ref="AL92">$H92 *
IF(ISNUMBER(SEARCH("Rapid",$L92)),7/6,1) *
IF(OR(ISNUMBER(SEARCH("Beam",$L92)),ISNUMBER(SEARCH("Firestorm",$L92))),1, IF(ISNUMBER(SEARCH("Blast",$L92)),(4+$G92+(2-$G92)*0.5)/6*2,(4+$G92)/6)) *
_xlfn.IFS(AL$24-$I92 &lt;=1, 5/6, AL$24-$I92 &lt;=5, (7-(AL$24-$I92))/6, AND(AL$24-$I92 =6,NOT(_xlfn.IFNA(ISNUMBER(SEARCH("Rending",$L92)),FALSE))), (7-(AL$24-$I92))/6, AND(AL$24-$I92 &gt;=7,NOT(_xlfn.IFNA(ISNUMBER(SEARCH("Rending",$L92)),FALSE))), 0, AL$24-$I92 =7, (7-(AL$24-1-$I92))/6, AL$24-$I92 =8, (7-(AL$24-2-$I92))/6*2/3, AL$24-$I92 =9, (7-(AL$24-3-$I92))/6*1/3, TRUE, 0) *
IF(ISNUMBER(SEARCH("Ordinance",$L92)),7/6,1) *
IF(OR(ISNUMBER(SEARCH("Melee",$L92)),ISNUMBER(SEARCH("Bypass",$L92))),1.5,1)</f>
        <v>1.1111111111111112</v>
      </c>
      <c r="AM92" s="17" cm="1">
        <f t="array" ref="AM92">$H92 *
IF(ISNUMBER(SEARCH("Rapid",$L92)),7/6,1) *
IF(OR(ISNUMBER(SEARCH("Beam",$L92)),ISNUMBER(SEARCH("Firestorm",$L92))),1, IF(ISNUMBER(SEARCH("Blast",$L92)),(4+$G92+(2-$G92)*0.5)/6*2,(4+$G92)/6)) *
_xlfn.IFS(AM$24-$I92 &lt;=1, 5/6, AM$24-$I92 &lt;=5, (7-(AM$24-$I92))/6, AND(AM$24-$I92 =6,NOT(_xlfn.IFNA(ISNUMBER(SEARCH("Rending",$L92)),FALSE))), (7-(AM$24-$I92))/6, AND(AM$24-$I92 &gt;=7,NOT(_xlfn.IFNA(ISNUMBER(SEARCH("Rending",$L92)),FALSE))), 0, AM$24-$I92 =7, (7-(AM$24-1-$I92))/6, AM$24-$I92 =8, (7-(AM$24-2-$I92))/6*2/3, AM$24-$I92 =9, (7-(AM$24-3-$I92))/6*1/3, TRUE, 0) *
IF(ISNUMBER(SEARCH("Ordinance",$L92)),7/6,1) *
IF(OR(ISNUMBER(SEARCH("Melee",$L92)),ISNUMBER(SEARCH("Bypass",$L92))),1.5,1)</f>
        <v>0.83333333333333337</v>
      </c>
      <c r="AN92" s="17" cm="1">
        <f t="array" ref="AN92">$H92 *
IF(ISNUMBER(SEARCH("Rapid",$L92)),7/6,1) *
IF(OR(ISNUMBER(SEARCH("Beam",$L92)),ISNUMBER(SEARCH("Firestorm",$L92))),1, IF(ISNUMBER(SEARCH("Blast",$L92)),(4+$G92+(2-$G92)*0.5)/6*2,(4+$G92)/6)) *
_xlfn.IFS(AN$24-$I92 &lt;=1, 5/6, AN$24-$I92 &lt;=5, (7-(AN$24-$I92))/6, AND(AN$24-$I92 =6,NOT(_xlfn.IFNA(ISNUMBER(SEARCH("Rending",$L92)),FALSE))), (7-(AN$24-$I92))/6, AND(AN$24-$I92 &gt;=7,NOT(_xlfn.IFNA(ISNUMBER(SEARCH("Rending",$L92)),FALSE))), 0, AN$24-$I92 =7, (7-(AN$24-1-$I92))/6, AN$24-$I92 =8, (7-(AN$24-2-$I92))/6*2/3, AN$24-$I92 =9, (7-(AN$24-3-$I92))/6*1/3, TRUE, 0) *
IF(ISNUMBER(SEARCH("Ordinance",$L92)),7/6,1) *
IF(OR(ISNUMBER(SEARCH("Melee",$L92)),ISNUMBER(SEARCH("Bypass",$L92))),1.5,1)</f>
        <v>0.55555555555555558</v>
      </c>
      <c r="AO92" s="17" cm="1">
        <f t="array" ref="AO92">$H92 *
IF(ISNUMBER(SEARCH("Rapid",$L92)),7/6,1) *
IF(OR(ISNUMBER(SEARCH("Beam",$L92)),ISNUMBER(SEARCH("Firestorm",$L92))),1, IF(ISNUMBER(SEARCH("Blast",$L92)),(4+$G92+(2-$G92)*0.5)/6*2,(4+$G92)/6)) *
_xlfn.IFS(AO$24-$I92 &lt;=1, 5/6, AO$24-$I92 &lt;=5, (7-(AO$24-$I92))/6, AND(AO$24-$I92 =6,NOT(_xlfn.IFNA(ISNUMBER(SEARCH("Rending",$L92)),FALSE))), (7-(AO$24-$I92))/6, AND(AO$24-$I92 &gt;=7,NOT(_xlfn.IFNA(ISNUMBER(SEARCH("Rending",$L92)),FALSE))), 0, AO$24-$I92 =7, (7-(AO$24-1-$I92))/6, AO$24-$I92 =8, (7-(AO$24-2-$I92))/6*2/3, AO$24-$I92 =9, (7-(AO$24-3-$I92))/6*1/3, TRUE, 0) *
IF(ISNUMBER(SEARCH("Ordinance",$L92)),7/6,1) *
IF(OR(ISNUMBER(SEARCH("Melee",$L92)),ISNUMBER(SEARCH("Bypass",$L92))),1.5,1)</f>
        <v>0.27777777777777779</v>
      </c>
      <c r="AP92" s="17" cm="1">
        <f t="array" ref="AP92">$H92 *
IF(ISNUMBER(SEARCH("Rapid",$L92)),7/6,1) *
IF(OR(ISNUMBER(SEARCH("Beam",$L92)),ISNUMBER(SEARCH("Firestorm",$L92))),1, IF(ISNUMBER(SEARCH("Blast",$L92)),(4+$G92+(2-$G92)*0.5)/6*2,(4+$G92)/6)) *
_xlfn.IFS(AP$24-$I92 &lt;=1, 5/6, AP$24-$I92 &lt;=5, (7-(AP$24-$I92))/6, AND(AP$24-$I92 =6,NOT(_xlfn.IFNA(ISNUMBER(SEARCH("Rending",$L92)),FALSE))), (7-(AP$24-$I92))/6, AND(AP$24-$I92 &gt;=7,NOT(_xlfn.IFNA(ISNUMBER(SEARCH("Rending",$L92)),FALSE))), 0, AP$24-$I92 =7, (7-(AP$24-1-$I92))/6, AP$24-$I92 =8, (7-(AP$24-2-$I92))/6*2/3, AP$24-$I92 =9, (7-(AP$24-3-$I92))/6*1/3, TRUE, 0) *
IF(ISNUMBER(SEARCH("Ordinance",$L92)),7/6,1) *
IF(OR(ISNUMBER(SEARCH("Melee",$L92)),ISNUMBER(SEARCH("Bypass",$L92))),1.5,1)</f>
        <v>0</v>
      </c>
      <c r="AQ92" s="17" cm="1">
        <f t="array" ref="AQ92">$H92 *
IF(ISNUMBER(SEARCH("Rapid",$L92)),7/6,1) *
IF(OR(ISNUMBER(SEARCH("Beam",$L92)),ISNUMBER(SEARCH("Firestorm",$L92))),1, IF(ISNUMBER(SEARCH("Blast",$L92)),(4+$G92+(2-$G92)*0.5)/6*2,(4+$G92)/6)) *
_xlfn.IFS(AQ$24-$I92 &lt;=1, 5/6, AQ$24-$I92 &lt;=5, (7-(AQ$24-$I92))/6, AND(AQ$24-$I92 =6,NOT(_xlfn.IFNA(ISNUMBER(SEARCH("Rending",$L92)),FALSE))), (7-(AQ$24-$I92))/6, AND(AQ$24-$I92 &gt;=7,NOT(_xlfn.IFNA(ISNUMBER(SEARCH("Rending",$L92)),FALSE))), 0, AQ$24-$I92 =7, (7-(AQ$24-1-$I92))/6, AQ$24-$I92 =8, (7-(AQ$24-2-$I92))/6*2/3, AQ$24-$I92 =9, (7-(AQ$24-3-$I92))/6*1/3, TRUE, 0) *
IF(ISNUMBER(SEARCH("Ordinance",$L92)),7/6,1) *
IF(OR(ISNUMBER(SEARCH("Melee",$L92)),ISNUMBER(SEARCH("Bypass",$L92))),1.5,1)</f>
        <v>0</v>
      </c>
      <c r="AS92" s="16">
        <f t="shared" si="26"/>
        <v>0.37037037037037041</v>
      </c>
      <c r="AT92" s="16">
        <f t="shared" si="27"/>
        <v>0.55555555555555558</v>
      </c>
      <c r="AU92" s="16">
        <f t="shared" si="28"/>
        <v>1.1250000000000002</v>
      </c>
      <c r="AV92" s="2">
        <v>11</v>
      </c>
    </row>
    <row r="93" spans="1:48" x14ac:dyDescent="0.3">
      <c r="A93" t="s">
        <v>240</v>
      </c>
      <c r="B93" s="3">
        <v>2</v>
      </c>
      <c r="C93" s="8" t="s">
        <v>197</v>
      </c>
      <c r="D93" s="8">
        <v>1</v>
      </c>
      <c r="E93" s="8">
        <v>0</v>
      </c>
      <c r="F93" s="10">
        <v>2</v>
      </c>
      <c r="G93" s="10">
        <v>0</v>
      </c>
      <c r="H93" s="3">
        <v>3</v>
      </c>
      <c r="I93" s="3">
        <v>12</v>
      </c>
      <c r="J93" s="3" t="s">
        <v>248</v>
      </c>
      <c r="K93" s="3">
        <v>25</v>
      </c>
      <c r="L93" s="3" t="s">
        <v>219</v>
      </c>
      <c r="M93" s="3" t="s">
        <v>199</v>
      </c>
      <c r="N93" s="3">
        <v>11</v>
      </c>
      <c r="O93" s="3">
        <v>11</v>
      </c>
      <c r="P93" s="3">
        <v>15</v>
      </c>
      <c r="Q93" s="3" t="s">
        <v>200</v>
      </c>
      <c r="R93" s="3">
        <v>7</v>
      </c>
      <c r="S93" s="3">
        <v>9</v>
      </c>
      <c r="T93" s="3">
        <v>2</v>
      </c>
      <c r="V93" s="16">
        <f t="shared" si="20"/>
        <v>0</v>
      </c>
      <c r="W93" s="16">
        <f t="shared" si="21"/>
        <v>0</v>
      </c>
      <c r="X93" s="17" cm="1">
        <f t="array" ref="X93">$H93 *
IF(ISNUMBER(SEARCH("Rapid",$L93)),7/6,1) *
IF(OR(ISNUMBER(SEARCH("Beam",$L93)),ISNUMBER(SEARCH("Firestorm",$L93))),1, IF(ISNUMBER(SEARCH("Blast",$L93)),(4+$F93+(2-$F93)*0.5)/6*2,(4+$F93)/6)) *
IF(ISNUMBER(SEARCH("Fusion",$L93)), _xlfn.IFS(X$24-$I93 &lt;=1, 9/10, X$24-$I93 &lt;=10,(11-(X$24-$I93))/10, X$24-$I93 &gt;=11, 0),
_xlfn.IFS(X$24-$I93 &lt;=1, 5/6, X$24-$I93 &lt;=5, (7-(X$24-$I93))/6, AND(X$24-$I93 =6,NOT(_xlfn.IFNA(ISNUMBER(SEARCH("Rending",$L93)),FALSE))), (7-(X$24-$I93))/6, AND(X$24-$I93 &gt;=7,NOT(_xlfn.IFNA(ISNUMBER(SEARCH("Rending",$L93)),FALSE))), 0, X$24-$I93 =7, (7-(X$24-1-$I93))/6, X$24-$I93 =8, (7-(X$24-2-$I93))/6*2/3, X$24-$I93 =9, (7-(X$24-3-$I93))/6*1/3, TRUE, 0)) *
IF(ISNUMBER(SEARCH("Ordinance",$L93)),7/6,1) *
IF(OR(ISNUMBER(SEARCH("Melee",$L93)),ISNUMBER(SEARCH("Bypass",$L93))),1.5,1)</f>
        <v>3.75</v>
      </c>
      <c r="Y93" s="17" cm="1">
        <f t="array" ref="Y93">$H93 *
IF(ISNUMBER(SEARCH("Rapid",$L93)),7/6,1) *
IF(OR(ISNUMBER(SEARCH("Beam",$L93)),ISNUMBER(SEARCH("Firestorm",$L93))),1, IF(ISNUMBER(SEARCH("Blast",$L93)),(4+$F93+(2-$F93)*0.5)/6*2,(4+$F93)/6)) *
IF(ISNUMBER(SEARCH("Fusion",$L93)), _xlfn.IFS(Y$24-$I93 &lt;=1, 9/10, Y$24-$I93 &lt;=10,(11-(Y$24-$I93))/10, Y$24-$I93 &gt;=11, 0),
_xlfn.IFS(Y$24-$I93 &lt;=1, 5/6, Y$24-$I93 &lt;=5, (7-(Y$24-$I93))/6, AND(Y$24-$I93 =6,NOT(_xlfn.IFNA(ISNUMBER(SEARCH("Rending",$L93)),FALSE))), (7-(Y$24-$I93))/6, AND(Y$24-$I93 &gt;=7,NOT(_xlfn.IFNA(ISNUMBER(SEARCH("Rending",$L93)),FALSE))), 0, Y$24-$I93 =7, (7-(Y$24-1-$I93))/6, Y$24-$I93 =8, (7-(Y$24-2-$I93))/6*2/3, Y$24-$I93 =9, (7-(Y$24-3-$I93))/6*1/3, TRUE, 0)) *
IF(ISNUMBER(SEARCH("Ordinance",$L93)),7/6,1) *
IF(OR(ISNUMBER(SEARCH("Melee",$L93)),ISNUMBER(SEARCH("Bypass",$L93))),1.5,1)</f>
        <v>3.75</v>
      </c>
      <c r="Z93" s="17" cm="1">
        <f t="array" ref="Z93">$H93 *
IF(ISNUMBER(SEARCH("Rapid",$L93)),7/6,1) *
IF(OR(ISNUMBER(SEARCH("Beam",$L93)),ISNUMBER(SEARCH("Firestorm",$L93))),1, IF(ISNUMBER(SEARCH("Blast",$L93)),(4+$F93+(2-$F93)*0.5)/6*2,(4+$F93)/6)) *
IF(ISNUMBER(SEARCH("Fusion",$L93)), _xlfn.IFS(Z$24-$I93 &lt;=1, 9/10, Z$24-$I93 &lt;=10,(11-(Z$24-$I93))/10, Z$24-$I93 &gt;=11, 0),
_xlfn.IFS(Z$24-$I93 &lt;=1, 5/6, Z$24-$I93 &lt;=5, (7-(Z$24-$I93))/6, AND(Z$24-$I93 =6,NOT(_xlfn.IFNA(ISNUMBER(SEARCH("Rending",$L93)),FALSE))), (7-(Z$24-$I93))/6, AND(Z$24-$I93 &gt;=7,NOT(_xlfn.IFNA(ISNUMBER(SEARCH("Rending",$L93)),FALSE))), 0, Z$24-$I93 =7, (7-(Z$24-1-$I93))/6, Z$24-$I93 =8, (7-(Z$24-2-$I93))/6*2/3, Z$24-$I93 =9, (7-(Z$24-3-$I93))/6*1/3, TRUE, 0)) *
IF(ISNUMBER(SEARCH("Ordinance",$L93)),7/6,1) *
IF(OR(ISNUMBER(SEARCH("Melee",$L93)),ISNUMBER(SEARCH("Bypass",$L93))),1.5,1)</f>
        <v>3.75</v>
      </c>
      <c r="AA93" s="17" cm="1">
        <f t="array" ref="AA93">$H93 *
IF(ISNUMBER(SEARCH("Rapid",$L93)),7/6,1) *
IF(OR(ISNUMBER(SEARCH("Beam",$L93)),ISNUMBER(SEARCH("Firestorm",$L93))),1, IF(ISNUMBER(SEARCH("Blast",$L93)),(4+$F93+(2-$F93)*0.5)/6*2,(4+$F93)/6)) *
IF(ISNUMBER(SEARCH("Fusion",$L93)), _xlfn.IFS(AA$24-$I93 &lt;=1, 9/10, AA$24-$I93 &lt;=10,(11-(AA$24-$I93))/10, AA$24-$I93 &gt;=11, 0),
_xlfn.IFS(AA$24-$I93 &lt;=1, 5/6, AA$24-$I93 &lt;=5, (7-(AA$24-$I93))/6, AND(AA$24-$I93 =6,NOT(_xlfn.IFNA(ISNUMBER(SEARCH("Rending",$L93)),FALSE))), (7-(AA$24-$I93))/6, AND(AA$24-$I93 &gt;=7,NOT(_xlfn.IFNA(ISNUMBER(SEARCH("Rending",$L93)),FALSE))), 0, AA$24-$I93 =7, (7-(AA$24-1-$I93))/6, AA$24-$I93 =8, (7-(AA$24-2-$I93))/6*2/3, AA$24-$I93 =9, (7-(AA$24-3-$I93))/6*1/3, TRUE, 0)) *
IF(ISNUMBER(SEARCH("Ordinance",$L93)),7/6,1) *
IF(OR(ISNUMBER(SEARCH("Melee",$L93)),ISNUMBER(SEARCH("Bypass",$L93))),1.5,1)</f>
        <v>3.75</v>
      </c>
      <c r="AB93" s="17" cm="1">
        <f t="array" ref="AB93">$H93 *
IF(ISNUMBER(SEARCH("Rapid",$L93)),7/6,1) *
IF(OR(ISNUMBER(SEARCH("Beam",$L93)),ISNUMBER(SEARCH("Firestorm",$L93))),1, IF(ISNUMBER(SEARCH("Blast",$L93)),(4+$F93+(2-$F93)*0.5)/6*2,(4+$F93)/6)) *
IF(ISNUMBER(SEARCH("Fusion",$L93)), _xlfn.IFS(AB$24-$I93 &lt;=1, 9/10, AB$24-$I93 &lt;=10,(11-(AB$24-$I93))/10, AB$24-$I93 &gt;=11, 0),
_xlfn.IFS(AB$24-$I93 &lt;=1, 5/6, AB$24-$I93 &lt;=5, (7-(AB$24-$I93))/6, AND(AB$24-$I93 =6,NOT(_xlfn.IFNA(ISNUMBER(SEARCH("Rending",$L93)),FALSE))), (7-(AB$24-$I93))/6, AND(AB$24-$I93 &gt;=7,NOT(_xlfn.IFNA(ISNUMBER(SEARCH("Rending",$L93)),FALSE))), 0, AB$24-$I93 =7, (7-(AB$24-1-$I93))/6, AB$24-$I93 =8, (7-(AB$24-2-$I93))/6*2/3, AB$24-$I93 =9, (7-(AB$24-3-$I93))/6*1/3, TRUE, 0)) *
IF(ISNUMBER(SEARCH("Ordinance",$L93)),7/6,1) *
IF(OR(ISNUMBER(SEARCH("Melee",$L93)),ISNUMBER(SEARCH("Bypass",$L93))),1.5,1)</f>
        <v>3.75</v>
      </c>
      <c r="AC93" s="17" cm="1">
        <f t="array" ref="AC93">$H93 *
IF(ISNUMBER(SEARCH("Rapid",$L93)),7/6,1) *
IF(OR(ISNUMBER(SEARCH("Beam",$L93)),ISNUMBER(SEARCH("Firestorm",$L93))),1, IF(ISNUMBER(SEARCH("Blast",$L93)),(4+$F93+(2-$F93)*0.5)/6*2,(4+$F93)/6)) *
IF(ISNUMBER(SEARCH("Fusion",$L93)), _xlfn.IFS(AC$24-$I93 &lt;=1, 9/10, AC$24-$I93 &lt;=10,(11-(AC$24-$I93))/10, AC$24-$I93 &gt;=11, 0),
_xlfn.IFS(AC$24-$I93 &lt;=1, 5/6, AC$24-$I93 &lt;=5, (7-(AC$24-$I93))/6, AND(AC$24-$I93 =6,NOT(_xlfn.IFNA(ISNUMBER(SEARCH("Rending",$L93)),FALSE))), (7-(AC$24-$I93))/6, AND(AC$24-$I93 &gt;=7,NOT(_xlfn.IFNA(ISNUMBER(SEARCH("Rending",$L93)),FALSE))), 0, AC$24-$I93 =7, (7-(AC$24-1-$I93))/6, AC$24-$I93 =8, (7-(AC$24-2-$I93))/6*2/3, AC$24-$I93 =9, (7-(AC$24-3-$I93))/6*1/3, TRUE, 0)) *
IF(ISNUMBER(SEARCH("Ordinance",$L93)),7/6,1) *
IF(OR(ISNUMBER(SEARCH("Melee",$L93)),ISNUMBER(SEARCH("Bypass",$L93))),1.5,1)</f>
        <v>3.75</v>
      </c>
      <c r="AD93" s="17" cm="1">
        <f t="array" ref="AD93">$H93 *
IF(ISNUMBER(SEARCH("Rapid",$L93)),7/6,1) *
IF(OR(ISNUMBER(SEARCH("Beam",$L93)),ISNUMBER(SEARCH("Firestorm",$L93))),1, IF(ISNUMBER(SEARCH("Blast",$L93)),(4+$F93+(2-$F93)*0.5)/6*2,(4+$F93)/6)) *
IF(ISNUMBER(SEARCH("Fusion",$L93)), _xlfn.IFS(AD$24-$I93 &lt;=1, 9/10, AD$24-$I93 &lt;=10,(11-(AD$24-$I93))/10, AD$24-$I93 &gt;=11, 0),
_xlfn.IFS(AD$24-$I93 &lt;=1, 5/6, AD$24-$I93 &lt;=5, (7-(AD$24-$I93))/6, AND(AD$24-$I93 =6,NOT(_xlfn.IFNA(ISNUMBER(SEARCH("Rending",$L93)),FALSE))), (7-(AD$24-$I93))/6, AND(AD$24-$I93 &gt;=7,NOT(_xlfn.IFNA(ISNUMBER(SEARCH("Rending",$L93)),FALSE))), 0, AD$24-$I93 =7, (7-(AD$24-1-$I93))/6, AD$24-$I93 =8, (7-(AD$24-2-$I93))/6*2/3, AD$24-$I93 =9, (7-(AD$24-3-$I93))/6*1/3, TRUE, 0)) *
IF(ISNUMBER(SEARCH("Ordinance",$L93)),7/6,1) *
IF(OR(ISNUMBER(SEARCH("Melee",$L93)),ISNUMBER(SEARCH("Bypass",$L93))),1.5,1)</f>
        <v>3</v>
      </c>
      <c r="AE93" s="17" cm="1">
        <f t="array" ref="AE93">$H93 *
IF(ISNUMBER(SEARCH("Rapid",$L93)),7/6,1) *
IF(OR(ISNUMBER(SEARCH("Beam",$L93)),ISNUMBER(SEARCH("Firestorm",$L93))),1, IF(ISNUMBER(SEARCH("Blast",$L93)),(4+$F93+(2-$F93)*0.5)/6*2,(4+$F93)/6)) *
IF(ISNUMBER(SEARCH("Fusion",$L93)), _xlfn.IFS(AE$24-$I93 &lt;=1, 9/10, AE$24-$I93 &lt;=10,(11-(AE$24-$I93))/10, AE$24-$I93 &gt;=11, 0),
_xlfn.IFS(AE$24-$I93 &lt;=1, 5/6, AE$24-$I93 &lt;=5, (7-(AE$24-$I93))/6, AND(AE$24-$I93 =6,NOT(_xlfn.IFNA(ISNUMBER(SEARCH("Rending",$L93)),FALSE))), (7-(AE$24-$I93))/6, AND(AE$24-$I93 &gt;=7,NOT(_xlfn.IFNA(ISNUMBER(SEARCH("Rending",$L93)),FALSE))), 0, AE$24-$I93 =7, (7-(AE$24-1-$I93))/6, AE$24-$I93 =8, (7-(AE$24-2-$I93))/6*2/3, AE$24-$I93 =9, (7-(AE$24-3-$I93))/6*1/3, TRUE, 0)) *
IF(ISNUMBER(SEARCH("Ordinance",$L93)),7/6,1) *
IF(OR(ISNUMBER(SEARCH("Melee",$L93)),ISNUMBER(SEARCH("Bypass",$L93))),1.5,1)</f>
        <v>2.25</v>
      </c>
      <c r="AF93" s="17" cm="1">
        <f t="array" ref="AF93">$H93 *
IF(ISNUMBER(SEARCH("Rapid",$L93)),7/6,1) *
IF(OR(ISNUMBER(SEARCH("Beam",$L93)),ISNUMBER(SEARCH("Firestorm",$L93))),1, IF(ISNUMBER(SEARCH("Blast",$L93)),(4+$F93+(2-$F93)*0.5)/6*2,(4+$F93)/6)) *
IF(ISNUMBER(SEARCH("Fusion",$L93)), _xlfn.IFS(AF$24-$I93 &lt;=1, 9/10, AF$24-$I93 &lt;=10,(11-(AF$24-$I93))/10, AF$24-$I93 &gt;=11, 0),
_xlfn.IFS(AF$24-$I93 &lt;=1, 5/6, AF$24-$I93 &lt;=5, (7-(AF$24-$I93))/6, AND(AF$24-$I93 =6,NOT(_xlfn.IFNA(ISNUMBER(SEARCH("Rending",$L93)),FALSE))), (7-(AF$24-$I93))/6, AND(AF$24-$I93 &gt;=7,NOT(_xlfn.IFNA(ISNUMBER(SEARCH("Rending",$L93)),FALSE))), 0, AF$24-$I93 =7, (7-(AF$24-1-$I93))/6, AF$24-$I93 =8, (7-(AF$24-2-$I93))/6*2/3, AF$24-$I93 =9, (7-(AF$24-3-$I93))/6*1/3, TRUE, 0)) *
IF(ISNUMBER(SEARCH("Ordinance",$L93)),7/6,1) *
IF(OR(ISNUMBER(SEARCH("Melee",$L93)),ISNUMBER(SEARCH("Bypass",$L93))),1.5,1)</f>
        <v>1.5</v>
      </c>
      <c r="AG93" s="16">
        <f t="shared" si="22"/>
        <v>0</v>
      </c>
      <c r="AH93" s="16">
        <f t="shared" si="23"/>
        <v>0</v>
      </c>
      <c r="AI93" s="17" cm="1">
        <f t="array" ref="AI93">$H93 *
IF(ISNUMBER(SEARCH("Rapid",$L93)),7/6,1) *
IF(OR(ISNUMBER(SEARCH("Beam",$L93)),ISNUMBER(SEARCH("Firestorm",$L93))),1, IF(ISNUMBER(SEARCH("Blast",$L93)),(4+$G93+(2-$G93)*0.5)/6*2,(4+$G93)/6)) *
_xlfn.IFS(AI$24-$I93 &lt;=1, 5/6, AI$24-$I93 &lt;=5, (7-(AI$24-$I93))/6, AND(AI$24-$I93 =6,NOT(_xlfn.IFNA(ISNUMBER(SEARCH("Rending",$L93)),FALSE))), (7-(AI$24-$I93))/6, AND(AI$24-$I93 &gt;=7,NOT(_xlfn.IFNA(ISNUMBER(SEARCH("Rending",$L93)),FALSE))), 0, AI$24-$I93 =7, (7-(AI$24-1-$I93))/6, AI$24-$I93 =8, (7-(AI$24-2-$I93))/6*2/3, AI$24-$I93 =9, (7-(AI$24-3-$I93))/6*1/3, TRUE, 0) *
IF(ISNUMBER(SEARCH("Ordinance",$L93)),7/6,1) *
IF(OR(ISNUMBER(SEARCH("Melee",$L93)),ISNUMBER(SEARCH("Bypass",$L93))),1.5,1)</f>
        <v>2.5</v>
      </c>
      <c r="AJ93" s="17" cm="1">
        <f t="array" ref="AJ93">$H93 *
IF(ISNUMBER(SEARCH("Rapid",$L93)),7/6,1) *
IF(OR(ISNUMBER(SEARCH("Beam",$L93)),ISNUMBER(SEARCH("Firestorm",$L93))),1, IF(ISNUMBER(SEARCH("Blast",$L93)),(4+$G93+(2-$G93)*0.5)/6*2,(4+$G93)/6)) *
_xlfn.IFS(AJ$24-$I93 &lt;=1, 5/6, AJ$24-$I93 &lt;=5, (7-(AJ$24-$I93))/6, AND(AJ$24-$I93 =6,NOT(_xlfn.IFNA(ISNUMBER(SEARCH("Rending",$L93)),FALSE))), (7-(AJ$24-$I93))/6, AND(AJ$24-$I93 &gt;=7,NOT(_xlfn.IFNA(ISNUMBER(SEARCH("Rending",$L93)),FALSE))), 0, AJ$24-$I93 =7, (7-(AJ$24-1-$I93))/6, AJ$24-$I93 =8, (7-(AJ$24-2-$I93))/6*2/3, AJ$24-$I93 =9, (7-(AJ$24-3-$I93))/6*1/3, TRUE, 0) *
IF(ISNUMBER(SEARCH("Ordinance",$L93)),7/6,1) *
IF(OR(ISNUMBER(SEARCH("Melee",$L93)),ISNUMBER(SEARCH("Bypass",$L93))),1.5,1)</f>
        <v>2.5</v>
      </c>
      <c r="AK93" s="17" cm="1">
        <f t="array" ref="AK93">$H93 *
IF(ISNUMBER(SEARCH("Rapid",$L93)),7/6,1) *
IF(OR(ISNUMBER(SEARCH("Beam",$L93)),ISNUMBER(SEARCH("Firestorm",$L93))),1, IF(ISNUMBER(SEARCH("Blast",$L93)),(4+$G93+(2-$G93)*0.5)/6*2,(4+$G93)/6)) *
_xlfn.IFS(AK$24-$I93 &lt;=1, 5/6, AK$24-$I93 &lt;=5, (7-(AK$24-$I93))/6, AND(AK$24-$I93 =6,NOT(_xlfn.IFNA(ISNUMBER(SEARCH("Rending",$L93)),FALSE))), (7-(AK$24-$I93))/6, AND(AK$24-$I93 &gt;=7,NOT(_xlfn.IFNA(ISNUMBER(SEARCH("Rending",$L93)),FALSE))), 0, AK$24-$I93 =7, (7-(AK$24-1-$I93))/6, AK$24-$I93 =8, (7-(AK$24-2-$I93))/6*2/3, AK$24-$I93 =9, (7-(AK$24-3-$I93))/6*1/3, TRUE, 0) *
IF(ISNUMBER(SEARCH("Ordinance",$L93)),7/6,1) *
IF(OR(ISNUMBER(SEARCH("Melee",$L93)),ISNUMBER(SEARCH("Bypass",$L93))),1.5,1)</f>
        <v>2.5</v>
      </c>
      <c r="AL93" s="17" cm="1">
        <f t="array" ref="AL93">$H93 *
IF(ISNUMBER(SEARCH("Rapid",$L93)),7/6,1) *
IF(OR(ISNUMBER(SEARCH("Beam",$L93)),ISNUMBER(SEARCH("Firestorm",$L93))),1, IF(ISNUMBER(SEARCH("Blast",$L93)),(4+$G93+(2-$G93)*0.5)/6*2,(4+$G93)/6)) *
_xlfn.IFS(AL$24-$I93 &lt;=1, 5/6, AL$24-$I93 &lt;=5, (7-(AL$24-$I93))/6, AND(AL$24-$I93 =6,NOT(_xlfn.IFNA(ISNUMBER(SEARCH("Rending",$L93)),FALSE))), (7-(AL$24-$I93))/6, AND(AL$24-$I93 &gt;=7,NOT(_xlfn.IFNA(ISNUMBER(SEARCH("Rending",$L93)),FALSE))), 0, AL$24-$I93 =7, (7-(AL$24-1-$I93))/6, AL$24-$I93 =8, (7-(AL$24-2-$I93))/6*2/3, AL$24-$I93 =9, (7-(AL$24-3-$I93))/6*1/3, TRUE, 0) *
IF(ISNUMBER(SEARCH("Ordinance",$L93)),7/6,1) *
IF(OR(ISNUMBER(SEARCH("Melee",$L93)),ISNUMBER(SEARCH("Bypass",$L93))),1.5,1)</f>
        <v>2.5</v>
      </c>
      <c r="AM93" s="17" cm="1">
        <f t="array" ref="AM93">$H93 *
IF(ISNUMBER(SEARCH("Rapid",$L93)),7/6,1) *
IF(OR(ISNUMBER(SEARCH("Beam",$L93)),ISNUMBER(SEARCH("Firestorm",$L93))),1, IF(ISNUMBER(SEARCH("Blast",$L93)),(4+$G93+(2-$G93)*0.5)/6*2,(4+$G93)/6)) *
_xlfn.IFS(AM$24-$I93 &lt;=1, 5/6, AM$24-$I93 &lt;=5, (7-(AM$24-$I93))/6, AND(AM$24-$I93 =6,NOT(_xlfn.IFNA(ISNUMBER(SEARCH("Rending",$L93)),FALSE))), (7-(AM$24-$I93))/6, AND(AM$24-$I93 &gt;=7,NOT(_xlfn.IFNA(ISNUMBER(SEARCH("Rending",$L93)),FALSE))), 0, AM$24-$I93 =7, (7-(AM$24-1-$I93))/6, AM$24-$I93 =8, (7-(AM$24-2-$I93))/6*2/3, AM$24-$I93 =9, (7-(AM$24-3-$I93))/6*1/3, TRUE, 0) *
IF(ISNUMBER(SEARCH("Ordinance",$L93)),7/6,1) *
IF(OR(ISNUMBER(SEARCH("Melee",$L93)),ISNUMBER(SEARCH("Bypass",$L93))),1.5,1)</f>
        <v>2.5</v>
      </c>
      <c r="AN93" s="17" cm="1">
        <f t="array" ref="AN93">$H93 *
IF(ISNUMBER(SEARCH("Rapid",$L93)),7/6,1) *
IF(OR(ISNUMBER(SEARCH("Beam",$L93)),ISNUMBER(SEARCH("Firestorm",$L93))),1, IF(ISNUMBER(SEARCH("Blast",$L93)),(4+$G93+(2-$G93)*0.5)/6*2,(4+$G93)/6)) *
_xlfn.IFS(AN$24-$I93 &lt;=1, 5/6, AN$24-$I93 &lt;=5, (7-(AN$24-$I93))/6, AND(AN$24-$I93 =6,NOT(_xlfn.IFNA(ISNUMBER(SEARCH("Rending",$L93)),FALSE))), (7-(AN$24-$I93))/6, AND(AN$24-$I93 &gt;=7,NOT(_xlfn.IFNA(ISNUMBER(SEARCH("Rending",$L93)),FALSE))), 0, AN$24-$I93 =7, (7-(AN$24-1-$I93))/6, AN$24-$I93 =8, (7-(AN$24-2-$I93))/6*2/3, AN$24-$I93 =9, (7-(AN$24-3-$I93))/6*1/3, TRUE, 0) *
IF(ISNUMBER(SEARCH("Ordinance",$L93)),7/6,1) *
IF(OR(ISNUMBER(SEARCH("Melee",$L93)),ISNUMBER(SEARCH("Bypass",$L93))),1.5,1)</f>
        <v>2.5</v>
      </c>
      <c r="AO93" s="17" cm="1">
        <f t="array" ref="AO93">$H93 *
IF(ISNUMBER(SEARCH("Rapid",$L93)),7/6,1) *
IF(OR(ISNUMBER(SEARCH("Beam",$L93)),ISNUMBER(SEARCH("Firestorm",$L93))),1, IF(ISNUMBER(SEARCH("Blast",$L93)),(4+$G93+(2-$G93)*0.5)/6*2,(4+$G93)/6)) *
_xlfn.IFS(AO$24-$I93 &lt;=1, 5/6, AO$24-$I93 &lt;=5, (7-(AO$24-$I93))/6, AND(AO$24-$I93 =6,NOT(_xlfn.IFNA(ISNUMBER(SEARCH("Rending",$L93)),FALSE))), (7-(AO$24-$I93))/6, AND(AO$24-$I93 &gt;=7,NOT(_xlfn.IFNA(ISNUMBER(SEARCH("Rending",$L93)),FALSE))), 0, AO$24-$I93 =7, (7-(AO$24-1-$I93))/6, AO$24-$I93 =8, (7-(AO$24-2-$I93))/6*2/3, AO$24-$I93 =9, (7-(AO$24-3-$I93))/6*1/3, TRUE, 0) *
IF(ISNUMBER(SEARCH("Ordinance",$L93)),7/6,1) *
IF(OR(ISNUMBER(SEARCH("Melee",$L93)),ISNUMBER(SEARCH("Bypass",$L93))),1.5,1)</f>
        <v>2</v>
      </c>
      <c r="AP93" s="17" cm="1">
        <f t="array" ref="AP93">$H93 *
IF(ISNUMBER(SEARCH("Rapid",$L93)),7/6,1) *
IF(OR(ISNUMBER(SEARCH("Beam",$L93)),ISNUMBER(SEARCH("Firestorm",$L93))),1, IF(ISNUMBER(SEARCH("Blast",$L93)),(4+$G93+(2-$G93)*0.5)/6*2,(4+$G93)/6)) *
_xlfn.IFS(AP$24-$I93 &lt;=1, 5/6, AP$24-$I93 &lt;=5, (7-(AP$24-$I93))/6, AND(AP$24-$I93 =6,NOT(_xlfn.IFNA(ISNUMBER(SEARCH("Rending",$L93)),FALSE))), (7-(AP$24-$I93))/6, AND(AP$24-$I93 &gt;=7,NOT(_xlfn.IFNA(ISNUMBER(SEARCH("Rending",$L93)),FALSE))), 0, AP$24-$I93 =7, (7-(AP$24-1-$I93))/6, AP$24-$I93 =8, (7-(AP$24-2-$I93))/6*2/3, AP$24-$I93 =9, (7-(AP$24-3-$I93))/6*1/3, TRUE, 0) *
IF(ISNUMBER(SEARCH("Ordinance",$L93)),7/6,1) *
IF(OR(ISNUMBER(SEARCH("Melee",$L93)),ISNUMBER(SEARCH("Bypass",$L93))),1.5,1)</f>
        <v>1.5</v>
      </c>
      <c r="AQ93" s="17" cm="1">
        <f t="array" ref="AQ93">$H93 *
IF(ISNUMBER(SEARCH("Rapid",$L93)),7/6,1) *
IF(OR(ISNUMBER(SEARCH("Beam",$L93)),ISNUMBER(SEARCH("Firestorm",$L93))),1, IF(ISNUMBER(SEARCH("Blast",$L93)),(4+$G93+(2-$G93)*0.5)/6*2,(4+$G93)/6)) *
_xlfn.IFS(AQ$24-$I93 &lt;=1, 5/6, AQ$24-$I93 &lt;=5, (7-(AQ$24-$I93))/6, AND(AQ$24-$I93 =6,NOT(_xlfn.IFNA(ISNUMBER(SEARCH("Rending",$L93)),FALSE))), (7-(AQ$24-$I93))/6, AND(AQ$24-$I93 &gt;=7,NOT(_xlfn.IFNA(ISNUMBER(SEARCH("Rending",$L93)),FALSE))), 0, AQ$24-$I93 =7, (7-(AQ$24-1-$I93))/6, AQ$24-$I93 =8, (7-(AQ$24-2-$I93))/6*2/3, AQ$24-$I93 =9, (7-(AQ$24-3-$I93))/6*1/3, TRUE, 0) *
IF(ISNUMBER(SEARCH("Ordinance",$L93)),7/6,1) *
IF(OR(ISNUMBER(SEARCH("Melee",$L93)),ISNUMBER(SEARCH("Bypass",$L93))),1.5,1)</f>
        <v>1</v>
      </c>
      <c r="AS93" s="16">
        <f t="shared" si="26"/>
        <v>0</v>
      </c>
      <c r="AT93" s="16">
        <f t="shared" si="27"/>
        <v>0</v>
      </c>
      <c r="AU93" s="16">
        <f t="shared" si="28"/>
        <v>0.875</v>
      </c>
      <c r="AV93" s="2">
        <v>14</v>
      </c>
    </row>
    <row r="94" spans="1:48" x14ac:dyDescent="0.3">
      <c r="A94" t="s">
        <v>261</v>
      </c>
      <c r="B94" s="3">
        <v>16</v>
      </c>
      <c r="C94" s="8">
        <v>24</v>
      </c>
      <c r="D94" s="8">
        <v>1</v>
      </c>
      <c r="E94" s="8">
        <v>1</v>
      </c>
      <c r="F94" s="10">
        <v>0</v>
      </c>
      <c r="G94" s="10">
        <v>0</v>
      </c>
      <c r="H94" s="3">
        <v>3</v>
      </c>
      <c r="I94" s="3">
        <v>6</v>
      </c>
      <c r="J94" s="3" t="s">
        <v>248</v>
      </c>
      <c r="K94" s="3">
        <v>40</v>
      </c>
      <c r="L94" s="3" t="s">
        <v>262</v>
      </c>
      <c r="M94" s="3" t="s">
        <v>199</v>
      </c>
      <c r="N94" s="3">
        <v>11</v>
      </c>
      <c r="O94" s="3">
        <v>11</v>
      </c>
      <c r="P94" s="3">
        <v>15</v>
      </c>
      <c r="Q94" s="3" t="s">
        <v>200</v>
      </c>
      <c r="R94" s="3">
        <v>7</v>
      </c>
      <c r="S94" s="3">
        <v>9</v>
      </c>
      <c r="T94" s="3">
        <v>2</v>
      </c>
      <c r="V94" s="16">
        <f t="shared" si="20"/>
        <v>1.63</v>
      </c>
      <c r="W94" s="16">
        <f t="shared" si="21"/>
        <v>2.4449999999999998</v>
      </c>
      <c r="X94" s="17" cm="1">
        <f t="array" ref="X94">$H94 *
IF(ISNUMBER(SEARCH("Rapid",$L94)),7/6,1) *
IF(OR(ISNUMBER(SEARCH("Beam",$L94)),ISNUMBER(SEARCH("Firestorm",$L94))),1, IF(ISNUMBER(SEARCH("Blast",$L94)),(4+$F94+(2-$F94)*0.5)/6*2,(4+$F94)/6)) *
IF(ISNUMBER(SEARCH("Fusion",$L94)), _xlfn.IFS(X$24-$I94 &lt;=1, 9/10, X$24-$I94 &lt;=10,(11-(X$24-$I94))/10, X$24-$I94 &gt;=11, 0),
_xlfn.IFS(X$24-$I94 &lt;=1, 5/6, X$24-$I94 &lt;=5, (7-(X$24-$I94))/6, AND(X$24-$I94 =6,NOT(_xlfn.IFNA(ISNUMBER(SEARCH("Rending",$L94)),FALSE))), (7-(X$24-$I94))/6, AND(X$24-$I94 &gt;=7,NOT(_xlfn.IFNA(ISNUMBER(SEARCH("Rending",$L94)),FALSE))), 0, X$24-$I94 =7, (7-(X$24-1-$I94))/6, X$24-$I94 =8, (7-(X$24-2-$I94))/6*2/3, X$24-$I94 =9, (7-(X$24-3-$I94))/6*1/3, TRUE, 0)) *
IF(ISNUMBER(SEARCH("Ordinance",$L94)),7/6,1) *
IF(OR(ISNUMBER(SEARCH("Melee",$L94)),ISNUMBER(SEARCH("Bypass",$L94))),1.5,1)</f>
        <v>2</v>
      </c>
      <c r="Y94" s="17" cm="1">
        <f t="array" ref="Y94">$H94 *
IF(ISNUMBER(SEARCH("Rapid",$L94)),7/6,1) *
IF(OR(ISNUMBER(SEARCH("Beam",$L94)),ISNUMBER(SEARCH("Firestorm",$L94))),1, IF(ISNUMBER(SEARCH("Blast",$L94)),(4+$F94+(2-$F94)*0.5)/6*2,(4+$F94)/6)) *
IF(ISNUMBER(SEARCH("Fusion",$L94)), _xlfn.IFS(Y$24-$I94 &lt;=1, 9/10, Y$24-$I94 &lt;=10,(11-(Y$24-$I94))/10, Y$24-$I94 &gt;=11, 0),
_xlfn.IFS(Y$24-$I94 &lt;=1, 5/6, Y$24-$I94 &lt;=5, (7-(Y$24-$I94))/6, AND(Y$24-$I94 =6,NOT(_xlfn.IFNA(ISNUMBER(SEARCH("Rending",$L94)),FALSE))), (7-(Y$24-$I94))/6, AND(Y$24-$I94 &gt;=7,NOT(_xlfn.IFNA(ISNUMBER(SEARCH("Rending",$L94)),FALSE))), 0, Y$24-$I94 =7, (7-(Y$24-1-$I94))/6, Y$24-$I94 =8, (7-(Y$24-2-$I94))/6*2/3, Y$24-$I94 =9, (7-(Y$24-3-$I94))/6*1/3, TRUE, 0)) *
IF(ISNUMBER(SEARCH("Ordinance",$L94)),7/6,1) *
IF(OR(ISNUMBER(SEARCH("Melee",$L94)),ISNUMBER(SEARCH("Bypass",$L94))),1.5,1)</f>
        <v>1.5</v>
      </c>
      <c r="Z94" s="17" cm="1">
        <f t="array" ref="Z94">$H94 *
IF(ISNUMBER(SEARCH("Rapid",$L94)),7/6,1) *
IF(OR(ISNUMBER(SEARCH("Beam",$L94)),ISNUMBER(SEARCH("Firestorm",$L94))),1, IF(ISNUMBER(SEARCH("Blast",$L94)),(4+$F94+(2-$F94)*0.5)/6*2,(4+$F94)/6)) *
IF(ISNUMBER(SEARCH("Fusion",$L94)), _xlfn.IFS(Z$24-$I94 &lt;=1, 9/10, Z$24-$I94 &lt;=10,(11-(Z$24-$I94))/10, Z$24-$I94 &gt;=11, 0),
_xlfn.IFS(Z$24-$I94 &lt;=1, 5/6, Z$24-$I94 &lt;=5, (7-(Z$24-$I94))/6, AND(Z$24-$I94 =6,NOT(_xlfn.IFNA(ISNUMBER(SEARCH("Rending",$L94)),FALSE))), (7-(Z$24-$I94))/6, AND(Z$24-$I94 &gt;=7,NOT(_xlfn.IFNA(ISNUMBER(SEARCH("Rending",$L94)),FALSE))), 0, Z$24-$I94 =7, (7-(Z$24-1-$I94))/6, Z$24-$I94 =8, (7-(Z$24-2-$I94))/6*2/3, Z$24-$I94 =9, (7-(Z$24-3-$I94))/6*1/3, TRUE, 0)) *
IF(ISNUMBER(SEARCH("Ordinance",$L94)),7/6,1) *
IF(OR(ISNUMBER(SEARCH("Melee",$L94)),ISNUMBER(SEARCH("Bypass",$L94))),1.5,1)</f>
        <v>1</v>
      </c>
      <c r="AA94" s="17" cm="1">
        <f t="array" ref="AA94">$H94 *
IF(ISNUMBER(SEARCH("Rapid",$L94)),7/6,1) *
IF(OR(ISNUMBER(SEARCH("Beam",$L94)),ISNUMBER(SEARCH("Firestorm",$L94))),1, IF(ISNUMBER(SEARCH("Blast",$L94)),(4+$F94+(2-$F94)*0.5)/6*2,(4+$F94)/6)) *
IF(ISNUMBER(SEARCH("Fusion",$L94)), _xlfn.IFS(AA$24-$I94 &lt;=1, 9/10, AA$24-$I94 &lt;=10,(11-(AA$24-$I94))/10, AA$24-$I94 &gt;=11, 0),
_xlfn.IFS(AA$24-$I94 &lt;=1, 5/6, AA$24-$I94 &lt;=5, (7-(AA$24-$I94))/6, AND(AA$24-$I94 =6,NOT(_xlfn.IFNA(ISNUMBER(SEARCH("Rending",$L94)),FALSE))), (7-(AA$24-$I94))/6, AND(AA$24-$I94 &gt;=7,NOT(_xlfn.IFNA(ISNUMBER(SEARCH("Rending",$L94)),FALSE))), 0, AA$24-$I94 =7, (7-(AA$24-1-$I94))/6, AA$24-$I94 =8, (7-(AA$24-2-$I94))/6*2/3, AA$24-$I94 =9, (7-(AA$24-3-$I94))/6*1/3, TRUE, 0)) *
IF(ISNUMBER(SEARCH("Ordinance",$L94)),7/6,1) *
IF(OR(ISNUMBER(SEARCH("Melee",$L94)),ISNUMBER(SEARCH("Bypass",$L94))),1.5,1)</f>
        <v>0.5</v>
      </c>
      <c r="AB94" s="17" cm="1">
        <f t="array" ref="AB94">$H94 *
IF(ISNUMBER(SEARCH("Rapid",$L94)),7/6,1) *
IF(OR(ISNUMBER(SEARCH("Beam",$L94)),ISNUMBER(SEARCH("Firestorm",$L94))),1, IF(ISNUMBER(SEARCH("Blast",$L94)),(4+$F94+(2-$F94)*0.5)/6*2,(4+$F94)/6)) *
IF(ISNUMBER(SEARCH("Fusion",$L94)), _xlfn.IFS(AB$24-$I94 &lt;=1, 9/10, AB$24-$I94 &lt;=10,(11-(AB$24-$I94))/10, AB$24-$I94 &gt;=11, 0),
_xlfn.IFS(AB$24-$I94 &lt;=1, 5/6, AB$24-$I94 &lt;=5, (7-(AB$24-$I94))/6, AND(AB$24-$I94 =6,NOT(_xlfn.IFNA(ISNUMBER(SEARCH("Rending",$L94)),FALSE))), (7-(AB$24-$I94))/6, AND(AB$24-$I94 &gt;=7,NOT(_xlfn.IFNA(ISNUMBER(SEARCH("Rending",$L94)),FALSE))), 0, AB$24-$I94 =7, (7-(AB$24-1-$I94))/6, AB$24-$I94 =8, (7-(AB$24-2-$I94))/6*2/3, AB$24-$I94 =9, (7-(AB$24-3-$I94))/6*1/3, TRUE, 0)) *
IF(ISNUMBER(SEARCH("Ordinance",$L94)),7/6,1) *
IF(OR(ISNUMBER(SEARCH("Melee",$L94)),ISNUMBER(SEARCH("Bypass",$L94))),1.5,1)</f>
        <v>0</v>
      </c>
      <c r="AC94" s="17" cm="1">
        <f t="array" ref="AC94">$H94 *
IF(ISNUMBER(SEARCH("Rapid",$L94)),7/6,1) *
IF(OR(ISNUMBER(SEARCH("Beam",$L94)),ISNUMBER(SEARCH("Firestorm",$L94))),1, IF(ISNUMBER(SEARCH("Blast",$L94)),(4+$F94+(2-$F94)*0.5)/6*2,(4+$F94)/6)) *
IF(ISNUMBER(SEARCH("Fusion",$L94)), _xlfn.IFS(AC$24-$I94 &lt;=1, 9/10, AC$24-$I94 &lt;=10,(11-(AC$24-$I94))/10, AC$24-$I94 &gt;=11, 0),
_xlfn.IFS(AC$24-$I94 &lt;=1, 5/6, AC$24-$I94 &lt;=5, (7-(AC$24-$I94))/6, AND(AC$24-$I94 =6,NOT(_xlfn.IFNA(ISNUMBER(SEARCH("Rending",$L94)),FALSE))), (7-(AC$24-$I94))/6, AND(AC$24-$I94 &gt;=7,NOT(_xlfn.IFNA(ISNUMBER(SEARCH("Rending",$L94)),FALSE))), 0, AC$24-$I94 =7, (7-(AC$24-1-$I94))/6, AC$24-$I94 =8, (7-(AC$24-2-$I94))/6*2/3, AC$24-$I94 =9, (7-(AC$24-3-$I94))/6*1/3, TRUE, 0)) *
IF(ISNUMBER(SEARCH("Ordinance",$L94)),7/6,1) *
IF(OR(ISNUMBER(SEARCH("Melee",$L94)),ISNUMBER(SEARCH("Bypass",$L94))),1.5,1)</f>
        <v>0</v>
      </c>
      <c r="AD94" s="17" cm="1">
        <f t="array" ref="AD94">$H94 *
IF(ISNUMBER(SEARCH("Rapid",$L94)),7/6,1) *
IF(OR(ISNUMBER(SEARCH("Beam",$L94)),ISNUMBER(SEARCH("Firestorm",$L94))),1, IF(ISNUMBER(SEARCH("Blast",$L94)),(4+$F94+(2-$F94)*0.5)/6*2,(4+$F94)/6)) *
IF(ISNUMBER(SEARCH("Fusion",$L94)), _xlfn.IFS(AD$24-$I94 &lt;=1, 9/10, AD$24-$I94 &lt;=10,(11-(AD$24-$I94))/10, AD$24-$I94 &gt;=11, 0),
_xlfn.IFS(AD$24-$I94 &lt;=1, 5/6, AD$24-$I94 &lt;=5, (7-(AD$24-$I94))/6, AND(AD$24-$I94 =6,NOT(_xlfn.IFNA(ISNUMBER(SEARCH("Rending",$L94)),FALSE))), (7-(AD$24-$I94))/6, AND(AD$24-$I94 &gt;=7,NOT(_xlfn.IFNA(ISNUMBER(SEARCH("Rending",$L94)),FALSE))), 0, AD$24-$I94 =7, (7-(AD$24-1-$I94))/6, AD$24-$I94 =8, (7-(AD$24-2-$I94))/6*2/3, AD$24-$I94 =9, (7-(AD$24-3-$I94))/6*1/3, TRUE, 0)) *
IF(ISNUMBER(SEARCH("Ordinance",$L94)),7/6,1) *
IF(OR(ISNUMBER(SEARCH("Melee",$L94)),ISNUMBER(SEARCH("Bypass",$L94))),1.5,1)</f>
        <v>0</v>
      </c>
      <c r="AE94" s="17" cm="1">
        <f t="array" ref="AE94">$H94 *
IF(ISNUMBER(SEARCH("Rapid",$L94)),7/6,1) *
IF(OR(ISNUMBER(SEARCH("Beam",$L94)),ISNUMBER(SEARCH("Firestorm",$L94))),1, IF(ISNUMBER(SEARCH("Blast",$L94)),(4+$F94+(2-$F94)*0.5)/6*2,(4+$F94)/6)) *
IF(ISNUMBER(SEARCH("Fusion",$L94)), _xlfn.IFS(AE$24-$I94 &lt;=1, 9/10, AE$24-$I94 &lt;=10,(11-(AE$24-$I94))/10, AE$24-$I94 &gt;=11, 0),
_xlfn.IFS(AE$24-$I94 &lt;=1, 5/6, AE$24-$I94 &lt;=5, (7-(AE$24-$I94))/6, AND(AE$24-$I94 =6,NOT(_xlfn.IFNA(ISNUMBER(SEARCH("Rending",$L94)),FALSE))), (7-(AE$24-$I94))/6, AND(AE$24-$I94 &gt;=7,NOT(_xlfn.IFNA(ISNUMBER(SEARCH("Rending",$L94)),FALSE))), 0, AE$24-$I94 =7, (7-(AE$24-1-$I94))/6, AE$24-$I94 =8, (7-(AE$24-2-$I94))/6*2/3, AE$24-$I94 =9, (7-(AE$24-3-$I94))/6*1/3, TRUE, 0)) *
IF(ISNUMBER(SEARCH("Ordinance",$L94)),7/6,1) *
IF(OR(ISNUMBER(SEARCH("Melee",$L94)),ISNUMBER(SEARCH("Bypass",$L94))),1.5,1)</f>
        <v>0</v>
      </c>
      <c r="AF94" s="17" cm="1">
        <f t="array" ref="AF94">$H94 *
IF(ISNUMBER(SEARCH("Rapid",$L94)),7/6,1) *
IF(OR(ISNUMBER(SEARCH("Beam",$L94)),ISNUMBER(SEARCH("Firestorm",$L94))),1, IF(ISNUMBER(SEARCH("Blast",$L94)),(4+$F94+(2-$F94)*0.5)/6*2,(4+$F94)/6)) *
IF(ISNUMBER(SEARCH("Fusion",$L94)), _xlfn.IFS(AF$24-$I94 &lt;=1, 9/10, AF$24-$I94 &lt;=10,(11-(AF$24-$I94))/10, AF$24-$I94 &gt;=11, 0),
_xlfn.IFS(AF$24-$I94 &lt;=1, 5/6, AF$24-$I94 &lt;=5, (7-(AF$24-$I94))/6, AND(AF$24-$I94 =6,NOT(_xlfn.IFNA(ISNUMBER(SEARCH("Rending",$L94)),FALSE))), (7-(AF$24-$I94))/6, AND(AF$24-$I94 &gt;=7,NOT(_xlfn.IFNA(ISNUMBER(SEARCH("Rending",$L94)),FALSE))), 0, AF$24-$I94 =7, (7-(AF$24-1-$I94))/6, AF$24-$I94 =8, (7-(AF$24-2-$I94))/6*2/3, AF$24-$I94 =9, (7-(AF$24-3-$I94))/6*1/3, TRUE, 0)) *
IF(ISNUMBER(SEARCH("Ordinance",$L94)),7/6,1) *
IF(OR(ISNUMBER(SEARCH("Melee",$L94)),ISNUMBER(SEARCH("Bypass",$L94))),1.5,1)</f>
        <v>0</v>
      </c>
      <c r="AG94" s="16">
        <f t="shared" si="22"/>
        <v>1.63</v>
      </c>
      <c r="AH94" s="16">
        <f t="shared" si="23"/>
        <v>2.4449999999999998</v>
      </c>
      <c r="AI94" s="17" cm="1">
        <f t="array" ref="AI94">$H94 *
IF(ISNUMBER(SEARCH("Rapid",$L94)),7/6,1) *
IF(OR(ISNUMBER(SEARCH("Beam",$L94)),ISNUMBER(SEARCH("Firestorm",$L94))),1, IF(ISNUMBER(SEARCH("Blast",$L94)),(4+$G94+(2-$G94)*0.5)/6*2,(4+$G94)/6)) *
_xlfn.IFS(AI$24-$I94 &lt;=1, 5/6, AI$24-$I94 &lt;=5, (7-(AI$24-$I94))/6, AND(AI$24-$I94 =6,NOT(_xlfn.IFNA(ISNUMBER(SEARCH("Rending",$L94)),FALSE))), (7-(AI$24-$I94))/6, AND(AI$24-$I94 &gt;=7,NOT(_xlfn.IFNA(ISNUMBER(SEARCH("Rending",$L94)),FALSE))), 0, AI$24-$I94 =7, (7-(AI$24-1-$I94))/6, AI$24-$I94 =8, (7-(AI$24-2-$I94))/6*2/3, AI$24-$I94 =9, (7-(AI$24-3-$I94))/6*1/3, TRUE, 0) *
IF(ISNUMBER(SEARCH("Ordinance",$L94)),7/6,1) *
IF(OR(ISNUMBER(SEARCH("Melee",$L94)),ISNUMBER(SEARCH("Bypass",$L94))),1.5,1)</f>
        <v>2</v>
      </c>
      <c r="AJ94" s="17" cm="1">
        <f t="array" ref="AJ94">$H94 *
IF(ISNUMBER(SEARCH("Rapid",$L94)),7/6,1) *
IF(OR(ISNUMBER(SEARCH("Beam",$L94)),ISNUMBER(SEARCH("Firestorm",$L94))),1, IF(ISNUMBER(SEARCH("Blast",$L94)),(4+$G94+(2-$G94)*0.5)/6*2,(4+$G94)/6)) *
_xlfn.IFS(AJ$24-$I94 &lt;=1, 5/6, AJ$24-$I94 &lt;=5, (7-(AJ$24-$I94))/6, AND(AJ$24-$I94 =6,NOT(_xlfn.IFNA(ISNUMBER(SEARCH("Rending",$L94)),FALSE))), (7-(AJ$24-$I94))/6, AND(AJ$24-$I94 &gt;=7,NOT(_xlfn.IFNA(ISNUMBER(SEARCH("Rending",$L94)),FALSE))), 0, AJ$24-$I94 =7, (7-(AJ$24-1-$I94))/6, AJ$24-$I94 =8, (7-(AJ$24-2-$I94))/6*2/3, AJ$24-$I94 =9, (7-(AJ$24-3-$I94))/6*1/3, TRUE, 0) *
IF(ISNUMBER(SEARCH("Ordinance",$L94)),7/6,1) *
IF(OR(ISNUMBER(SEARCH("Melee",$L94)),ISNUMBER(SEARCH("Bypass",$L94))),1.5,1)</f>
        <v>1.5</v>
      </c>
      <c r="AK94" s="17" cm="1">
        <f t="array" ref="AK94">$H94 *
IF(ISNUMBER(SEARCH("Rapid",$L94)),7/6,1) *
IF(OR(ISNUMBER(SEARCH("Beam",$L94)),ISNUMBER(SEARCH("Firestorm",$L94))),1, IF(ISNUMBER(SEARCH("Blast",$L94)),(4+$G94+(2-$G94)*0.5)/6*2,(4+$G94)/6)) *
_xlfn.IFS(AK$24-$I94 &lt;=1, 5/6, AK$24-$I94 &lt;=5, (7-(AK$24-$I94))/6, AND(AK$24-$I94 =6,NOT(_xlfn.IFNA(ISNUMBER(SEARCH("Rending",$L94)),FALSE))), (7-(AK$24-$I94))/6, AND(AK$24-$I94 &gt;=7,NOT(_xlfn.IFNA(ISNUMBER(SEARCH("Rending",$L94)),FALSE))), 0, AK$24-$I94 =7, (7-(AK$24-1-$I94))/6, AK$24-$I94 =8, (7-(AK$24-2-$I94))/6*2/3, AK$24-$I94 =9, (7-(AK$24-3-$I94))/6*1/3, TRUE, 0) *
IF(ISNUMBER(SEARCH("Ordinance",$L94)),7/6,1) *
IF(OR(ISNUMBER(SEARCH("Melee",$L94)),ISNUMBER(SEARCH("Bypass",$L94))),1.5,1)</f>
        <v>1</v>
      </c>
      <c r="AL94" s="17" cm="1">
        <f t="array" ref="AL94">$H94 *
IF(ISNUMBER(SEARCH("Rapid",$L94)),7/6,1) *
IF(OR(ISNUMBER(SEARCH("Beam",$L94)),ISNUMBER(SEARCH("Firestorm",$L94))),1, IF(ISNUMBER(SEARCH("Blast",$L94)),(4+$G94+(2-$G94)*0.5)/6*2,(4+$G94)/6)) *
_xlfn.IFS(AL$24-$I94 &lt;=1, 5/6, AL$24-$I94 &lt;=5, (7-(AL$24-$I94))/6, AND(AL$24-$I94 =6,NOT(_xlfn.IFNA(ISNUMBER(SEARCH("Rending",$L94)),FALSE))), (7-(AL$24-$I94))/6, AND(AL$24-$I94 &gt;=7,NOT(_xlfn.IFNA(ISNUMBER(SEARCH("Rending",$L94)),FALSE))), 0, AL$24-$I94 =7, (7-(AL$24-1-$I94))/6, AL$24-$I94 =8, (7-(AL$24-2-$I94))/6*2/3, AL$24-$I94 =9, (7-(AL$24-3-$I94))/6*1/3, TRUE, 0) *
IF(ISNUMBER(SEARCH("Ordinance",$L94)),7/6,1) *
IF(OR(ISNUMBER(SEARCH("Melee",$L94)),ISNUMBER(SEARCH("Bypass",$L94))),1.5,1)</f>
        <v>0.5</v>
      </c>
      <c r="AM94" s="17" cm="1">
        <f t="array" ref="AM94">$H94 *
IF(ISNUMBER(SEARCH("Rapid",$L94)),7/6,1) *
IF(OR(ISNUMBER(SEARCH("Beam",$L94)),ISNUMBER(SEARCH("Firestorm",$L94))),1, IF(ISNUMBER(SEARCH("Blast",$L94)),(4+$G94+(2-$G94)*0.5)/6*2,(4+$G94)/6)) *
_xlfn.IFS(AM$24-$I94 &lt;=1, 5/6, AM$24-$I94 &lt;=5, (7-(AM$24-$I94))/6, AND(AM$24-$I94 =6,NOT(_xlfn.IFNA(ISNUMBER(SEARCH("Rending",$L94)),FALSE))), (7-(AM$24-$I94))/6, AND(AM$24-$I94 &gt;=7,NOT(_xlfn.IFNA(ISNUMBER(SEARCH("Rending",$L94)),FALSE))), 0, AM$24-$I94 =7, (7-(AM$24-1-$I94))/6, AM$24-$I94 =8, (7-(AM$24-2-$I94))/6*2/3, AM$24-$I94 =9, (7-(AM$24-3-$I94))/6*1/3, TRUE, 0) *
IF(ISNUMBER(SEARCH("Ordinance",$L94)),7/6,1) *
IF(OR(ISNUMBER(SEARCH("Melee",$L94)),ISNUMBER(SEARCH("Bypass",$L94))),1.5,1)</f>
        <v>0</v>
      </c>
      <c r="AN94" s="17" cm="1">
        <f t="array" ref="AN94">$H94 *
IF(ISNUMBER(SEARCH("Rapid",$L94)),7/6,1) *
IF(OR(ISNUMBER(SEARCH("Beam",$L94)),ISNUMBER(SEARCH("Firestorm",$L94))),1, IF(ISNUMBER(SEARCH("Blast",$L94)),(4+$G94+(2-$G94)*0.5)/6*2,(4+$G94)/6)) *
_xlfn.IFS(AN$24-$I94 &lt;=1, 5/6, AN$24-$I94 &lt;=5, (7-(AN$24-$I94))/6, AND(AN$24-$I94 =6,NOT(_xlfn.IFNA(ISNUMBER(SEARCH("Rending",$L94)),FALSE))), (7-(AN$24-$I94))/6, AND(AN$24-$I94 &gt;=7,NOT(_xlfn.IFNA(ISNUMBER(SEARCH("Rending",$L94)),FALSE))), 0, AN$24-$I94 =7, (7-(AN$24-1-$I94))/6, AN$24-$I94 =8, (7-(AN$24-2-$I94))/6*2/3, AN$24-$I94 =9, (7-(AN$24-3-$I94))/6*1/3, TRUE, 0) *
IF(ISNUMBER(SEARCH("Ordinance",$L94)),7/6,1) *
IF(OR(ISNUMBER(SEARCH("Melee",$L94)),ISNUMBER(SEARCH("Bypass",$L94))),1.5,1)</f>
        <v>0</v>
      </c>
      <c r="AO94" s="17" cm="1">
        <f t="array" ref="AO94">$H94 *
IF(ISNUMBER(SEARCH("Rapid",$L94)),7/6,1) *
IF(OR(ISNUMBER(SEARCH("Beam",$L94)),ISNUMBER(SEARCH("Firestorm",$L94))),1, IF(ISNUMBER(SEARCH("Blast",$L94)),(4+$G94+(2-$G94)*0.5)/6*2,(4+$G94)/6)) *
_xlfn.IFS(AO$24-$I94 &lt;=1, 5/6, AO$24-$I94 &lt;=5, (7-(AO$24-$I94))/6, AND(AO$24-$I94 =6,NOT(_xlfn.IFNA(ISNUMBER(SEARCH("Rending",$L94)),FALSE))), (7-(AO$24-$I94))/6, AND(AO$24-$I94 &gt;=7,NOT(_xlfn.IFNA(ISNUMBER(SEARCH("Rending",$L94)),FALSE))), 0, AO$24-$I94 =7, (7-(AO$24-1-$I94))/6, AO$24-$I94 =8, (7-(AO$24-2-$I94))/6*2/3, AO$24-$I94 =9, (7-(AO$24-3-$I94))/6*1/3, TRUE, 0) *
IF(ISNUMBER(SEARCH("Ordinance",$L94)),7/6,1) *
IF(OR(ISNUMBER(SEARCH("Melee",$L94)),ISNUMBER(SEARCH("Bypass",$L94))),1.5,1)</f>
        <v>0</v>
      </c>
      <c r="AP94" s="17" cm="1">
        <f t="array" ref="AP94">$H94 *
IF(ISNUMBER(SEARCH("Rapid",$L94)),7/6,1) *
IF(OR(ISNUMBER(SEARCH("Beam",$L94)),ISNUMBER(SEARCH("Firestorm",$L94))),1, IF(ISNUMBER(SEARCH("Blast",$L94)),(4+$G94+(2-$G94)*0.5)/6*2,(4+$G94)/6)) *
_xlfn.IFS(AP$24-$I94 &lt;=1, 5/6, AP$24-$I94 &lt;=5, (7-(AP$24-$I94))/6, AND(AP$24-$I94 =6,NOT(_xlfn.IFNA(ISNUMBER(SEARCH("Rending",$L94)),FALSE))), (7-(AP$24-$I94))/6, AND(AP$24-$I94 &gt;=7,NOT(_xlfn.IFNA(ISNUMBER(SEARCH("Rending",$L94)),FALSE))), 0, AP$24-$I94 =7, (7-(AP$24-1-$I94))/6, AP$24-$I94 =8, (7-(AP$24-2-$I94))/6*2/3, AP$24-$I94 =9, (7-(AP$24-3-$I94))/6*1/3, TRUE, 0) *
IF(ISNUMBER(SEARCH("Ordinance",$L94)),7/6,1) *
IF(OR(ISNUMBER(SEARCH("Melee",$L94)),ISNUMBER(SEARCH("Bypass",$L94))),1.5,1)</f>
        <v>0</v>
      </c>
      <c r="AQ94" s="17" cm="1">
        <f t="array" ref="AQ94">$H94 *
IF(ISNUMBER(SEARCH("Rapid",$L94)),7/6,1) *
IF(OR(ISNUMBER(SEARCH("Beam",$L94)),ISNUMBER(SEARCH("Firestorm",$L94))),1, IF(ISNUMBER(SEARCH("Blast",$L94)),(4+$G94+(2-$G94)*0.5)/6*2,(4+$G94)/6)) *
_xlfn.IFS(AQ$24-$I94 &lt;=1, 5/6, AQ$24-$I94 &lt;=5, (7-(AQ$24-$I94))/6, AND(AQ$24-$I94 =6,NOT(_xlfn.IFNA(ISNUMBER(SEARCH("Rending",$L94)),FALSE))), (7-(AQ$24-$I94))/6, AND(AQ$24-$I94 &gt;=7,NOT(_xlfn.IFNA(ISNUMBER(SEARCH("Rending",$L94)),FALSE))), 0, AQ$24-$I94 =7, (7-(AQ$24-1-$I94))/6, AQ$24-$I94 =8, (7-(AQ$24-2-$I94))/6*2/3, AQ$24-$I94 =9, (7-(AQ$24-3-$I94))/6*1/3, TRUE, 0) *
IF(ISNUMBER(SEARCH("Ordinance",$L94)),7/6,1) *
IF(OR(ISNUMBER(SEARCH("Melee",$L94)),ISNUMBER(SEARCH("Bypass",$L94))),1.5,1)</f>
        <v>0</v>
      </c>
      <c r="AS94" s="16">
        <f t="shared" si="26"/>
        <v>1.63</v>
      </c>
      <c r="AT94" s="16">
        <f t="shared" si="27"/>
        <v>2.4449999999999998</v>
      </c>
      <c r="AU94" s="16">
        <f t="shared" si="28"/>
        <v>1.0333333333333332</v>
      </c>
      <c r="AV94" s="2">
        <v>9</v>
      </c>
    </row>
    <row r="95" spans="1:48" x14ac:dyDescent="0.3">
      <c r="A95" t="s">
        <v>241</v>
      </c>
      <c r="B95" s="3">
        <v>18</v>
      </c>
      <c r="C95" s="3">
        <v>32</v>
      </c>
      <c r="D95" s="3">
        <v>1</v>
      </c>
      <c r="E95" s="3">
        <v>2</v>
      </c>
      <c r="F95" s="10">
        <v>0</v>
      </c>
      <c r="G95" s="10">
        <v>0</v>
      </c>
      <c r="H95" s="3">
        <v>4</v>
      </c>
      <c r="I95" s="3">
        <v>8</v>
      </c>
      <c r="J95" s="3" t="s">
        <v>254</v>
      </c>
      <c r="K95" s="3">
        <v>35</v>
      </c>
      <c r="L95" s="3" t="s">
        <v>255</v>
      </c>
      <c r="M95" s="3" t="s">
        <v>236</v>
      </c>
      <c r="N95" s="3">
        <v>11</v>
      </c>
      <c r="O95" s="3">
        <v>11</v>
      </c>
      <c r="P95" s="3">
        <v>15</v>
      </c>
      <c r="Q95" s="3" t="s">
        <v>200</v>
      </c>
      <c r="R95" s="3">
        <v>7</v>
      </c>
      <c r="S95" s="3">
        <v>9</v>
      </c>
      <c r="T95" s="3">
        <v>4</v>
      </c>
      <c r="V95" s="16">
        <f t="shared" si="20"/>
        <v>1.3333333333333333</v>
      </c>
      <c r="W95" s="16">
        <f t="shared" si="21"/>
        <v>1.7777777777777777</v>
      </c>
      <c r="X95" s="17" cm="1">
        <f t="array" ref="X95">$H95 *
IF(ISNUMBER(SEARCH("Rapid",$L95)),7/6,1) *
IF(OR(ISNUMBER(SEARCH("Beam",$L95)),ISNUMBER(SEARCH("Firestorm",$L95))),1, IF(ISNUMBER(SEARCH("Blast",$L95)),(4+$F95+(2-$F95)*0.5)/6*2,(4+$F95)/6)) *
IF(ISNUMBER(SEARCH("Fusion",$L95)), _xlfn.IFS(X$24-$I95 &lt;=1, 9/10, X$24-$I95 &lt;=10,(11-(X$24-$I95))/10, X$24-$I95 &gt;=11, 0),
_xlfn.IFS(X$24-$I95 &lt;=1, 5/6, X$24-$I95 &lt;=5, (7-(X$24-$I95))/6, AND(X$24-$I95 =6,NOT(_xlfn.IFNA(ISNUMBER(SEARCH("Rending",$L95)),FALSE))), (7-(X$24-$I95))/6, AND(X$24-$I95 &gt;=7,NOT(_xlfn.IFNA(ISNUMBER(SEARCH("Rending",$L95)),FALSE))), 0, X$24-$I95 =7, (7-(X$24-1-$I95))/6, X$24-$I95 =8, (7-(X$24-2-$I95))/6*2/3, X$24-$I95 =9, (7-(X$24-3-$I95))/6*1/3, TRUE, 0)) *
IF(ISNUMBER(SEARCH("Ordinance",$L95)),7/6,1) *
IF(OR(ISNUMBER(SEARCH("Melee",$L95)),ISNUMBER(SEARCH("Bypass",$L95))),1.5,1)</f>
        <v>2.2222222222222223</v>
      </c>
      <c r="Y95" s="17" cm="1">
        <f t="array" ref="Y95">$H95 *
IF(ISNUMBER(SEARCH("Rapid",$L95)),7/6,1) *
IF(OR(ISNUMBER(SEARCH("Beam",$L95)),ISNUMBER(SEARCH("Firestorm",$L95))),1, IF(ISNUMBER(SEARCH("Blast",$L95)),(4+$F95+(2-$F95)*0.5)/6*2,(4+$F95)/6)) *
IF(ISNUMBER(SEARCH("Fusion",$L95)), _xlfn.IFS(Y$24-$I95 &lt;=1, 9/10, Y$24-$I95 &lt;=10,(11-(Y$24-$I95))/10, Y$24-$I95 &gt;=11, 0),
_xlfn.IFS(Y$24-$I95 &lt;=1, 5/6, Y$24-$I95 &lt;=5, (7-(Y$24-$I95))/6, AND(Y$24-$I95 =6,NOT(_xlfn.IFNA(ISNUMBER(SEARCH("Rending",$L95)),FALSE))), (7-(Y$24-$I95))/6, AND(Y$24-$I95 &gt;=7,NOT(_xlfn.IFNA(ISNUMBER(SEARCH("Rending",$L95)),FALSE))), 0, Y$24-$I95 =7, (7-(Y$24-1-$I95))/6, Y$24-$I95 =8, (7-(Y$24-2-$I95))/6*2/3, Y$24-$I95 =9, (7-(Y$24-3-$I95))/6*1/3, TRUE, 0)) *
IF(ISNUMBER(SEARCH("Ordinance",$L95)),7/6,1) *
IF(OR(ISNUMBER(SEARCH("Melee",$L95)),ISNUMBER(SEARCH("Bypass",$L95))),1.5,1)</f>
        <v>2.2222222222222223</v>
      </c>
      <c r="Z95" s="17" cm="1">
        <f t="array" ref="Z95">$H95 *
IF(ISNUMBER(SEARCH("Rapid",$L95)),7/6,1) *
IF(OR(ISNUMBER(SEARCH("Beam",$L95)),ISNUMBER(SEARCH("Firestorm",$L95))),1, IF(ISNUMBER(SEARCH("Blast",$L95)),(4+$F95+(2-$F95)*0.5)/6*2,(4+$F95)/6)) *
IF(ISNUMBER(SEARCH("Fusion",$L95)), _xlfn.IFS(Z$24-$I95 &lt;=1, 9/10, Z$24-$I95 &lt;=10,(11-(Z$24-$I95))/10, Z$24-$I95 &gt;=11, 0),
_xlfn.IFS(Z$24-$I95 &lt;=1, 5/6, Z$24-$I95 &lt;=5, (7-(Z$24-$I95))/6, AND(Z$24-$I95 =6,NOT(_xlfn.IFNA(ISNUMBER(SEARCH("Rending",$L95)),FALSE))), (7-(Z$24-$I95))/6, AND(Z$24-$I95 &gt;=7,NOT(_xlfn.IFNA(ISNUMBER(SEARCH("Rending",$L95)),FALSE))), 0, Z$24-$I95 =7, (7-(Z$24-1-$I95))/6, Z$24-$I95 =8, (7-(Z$24-2-$I95))/6*2/3, Z$24-$I95 =9, (7-(Z$24-3-$I95))/6*1/3, TRUE, 0)) *
IF(ISNUMBER(SEARCH("Ordinance",$L95)),7/6,1) *
IF(OR(ISNUMBER(SEARCH("Melee",$L95)),ISNUMBER(SEARCH("Bypass",$L95))),1.5,1)</f>
        <v>1.7777777777777777</v>
      </c>
      <c r="AA95" s="17" cm="1">
        <f t="array" ref="AA95">$H95 *
IF(ISNUMBER(SEARCH("Rapid",$L95)),7/6,1) *
IF(OR(ISNUMBER(SEARCH("Beam",$L95)),ISNUMBER(SEARCH("Firestorm",$L95))),1, IF(ISNUMBER(SEARCH("Blast",$L95)),(4+$F95+(2-$F95)*0.5)/6*2,(4+$F95)/6)) *
IF(ISNUMBER(SEARCH("Fusion",$L95)), _xlfn.IFS(AA$24-$I95 &lt;=1, 9/10, AA$24-$I95 &lt;=10,(11-(AA$24-$I95))/10, AA$24-$I95 &gt;=11, 0),
_xlfn.IFS(AA$24-$I95 &lt;=1, 5/6, AA$24-$I95 &lt;=5, (7-(AA$24-$I95))/6, AND(AA$24-$I95 =6,NOT(_xlfn.IFNA(ISNUMBER(SEARCH("Rending",$L95)),FALSE))), (7-(AA$24-$I95))/6, AND(AA$24-$I95 &gt;=7,NOT(_xlfn.IFNA(ISNUMBER(SEARCH("Rending",$L95)),FALSE))), 0, AA$24-$I95 =7, (7-(AA$24-1-$I95))/6, AA$24-$I95 =8, (7-(AA$24-2-$I95))/6*2/3, AA$24-$I95 =9, (7-(AA$24-3-$I95))/6*1/3, TRUE, 0)) *
IF(ISNUMBER(SEARCH("Ordinance",$L95)),7/6,1) *
IF(OR(ISNUMBER(SEARCH("Melee",$L95)),ISNUMBER(SEARCH("Bypass",$L95))),1.5,1)</f>
        <v>1.3333333333333333</v>
      </c>
      <c r="AB95" s="17" cm="1">
        <f t="array" ref="AB95">$H95 *
IF(ISNUMBER(SEARCH("Rapid",$L95)),7/6,1) *
IF(OR(ISNUMBER(SEARCH("Beam",$L95)),ISNUMBER(SEARCH("Firestorm",$L95))),1, IF(ISNUMBER(SEARCH("Blast",$L95)),(4+$F95+(2-$F95)*0.5)/6*2,(4+$F95)/6)) *
IF(ISNUMBER(SEARCH("Fusion",$L95)), _xlfn.IFS(AB$24-$I95 &lt;=1, 9/10, AB$24-$I95 &lt;=10,(11-(AB$24-$I95))/10, AB$24-$I95 &gt;=11, 0),
_xlfn.IFS(AB$24-$I95 &lt;=1, 5/6, AB$24-$I95 &lt;=5, (7-(AB$24-$I95))/6, AND(AB$24-$I95 =6,NOT(_xlfn.IFNA(ISNUMBER(SEARCH("Rending",$L95)),FALSE))), (7-(AB$24-$I95))/6, AND(AB$24-$I95 &gt;=7,NOT(_xlfn.IFNA(ISNUMBER(SEARCH("Rending",$L95)),FALSE))), 0, AB$24-$I95 =7, (7-(AB$24-1-$I95))/6, AB$24-$I95 =8, (7-(AB$24-2-$I95))/6*2/3, AB$24-$I95 =9, (7-(AB$24-3-$I95))/6*1/3, TRUE, 0)) *
IF(ISNUMBER(SEARCH("Ordinance",$L95)),7/6,1) *
IF(OR(ISNUMBER(SEARCH("Melee",$L95)),ISNUMBER(SEARCH("Bypass",$L95))),1.5,1)</f>
        <v>0.88888888888888884</v>
      </c>
      <c r="AC95" s="17" cm="1">
        <f t="array" ref="AC95">$H95 *
IF(ISNUMBER(SEARCH("Rapid",$L95)),7/6,1) *
IF(OR(ISNUMBER(SEARCH("Beam",$L95)),ISNUMBER(SEARCH("Firestorm",$L95))),1, IF(ISNUMBER(SEARCH("Blast",$L95)),(4+$F95+(2-$F95)*0.5)/6*2,(4+$F95)/6)) *
IF(ISNUMBER(SEARCH("Fusion",$L95)), _xlfn.IFS(AC$24-$I95 &lt;=1, 9/10, AC$24-$I95 &lt;=10,(11-(AC$24-$I95))/10, AC$24-$I95 &gt;=11, 0),
_xlfn.IFS(AC$24-$I95 &lt;=1, 5/6, AC$24-$I95 &lt;=5, (7-(AC$24-$I95))/6, AND(AC$24-$I95 =6,NOT(_xlfn.IFNA(ISNUMBER(SEARCH("Rending",$L95)),FALSE))), (7-(AC$24-$I95))/6, AND(AC$24-$I95 &gt;=7,NOT(_xlfn.IFNA(ISNUMBER(SEARCH("Rending",$L95)),FALSE))), 0, AC$24-$I95 =7, (7-(AC$24-1-$I95))/6, AC$24-$I95 =8, (7-(AC$24-2-$I95))/6*2/3, AC$24-$I95 =9, (7-(AC$24-3-$I95))/6*1/3, TRUE, 0)) *
IF(ISNUMBER(SEARCH("Ordinance",$L95)),7/6,1) *
IF(OR(ISNUMBER(SEARCH("Melee",$L95)),ISNUMBER(SEARCH("Bypass",$L95))),1.5,1)</f>
        <v>0.44444444444444442</v>
      </c>
      <c r="AD95" s="17" cm="1">
        <f t="array" ref="AD95">$H95 *
IF(ISNUMBER(SEARCH("Rapid",$L95)),7/6,1) *
IF(OR(ISNUMBER(SEARCH("Beam",$L95)),ISNUMBER(SEARCH("Firestorm",$L95))),1, IF(ISNUMBER(SEARCH("Blast",$L95)),(4+$F95+(2-$F95)*0.5)/6*2,(4+$F95)/6)) *
IF(ISNUMBER(SEARCH("Fusion",$L95)), _xlfn.IFS(AD$24-$I95 &lt;=1, 9/10, AD$24-$I95 &lt;=10,(11-(AD$24-$I95))/10, AD$24-$I95 &gt;=11, 0),
_xlfn.IFS(AD$24-$I95 &lt;=1, 5/6, AD$24-$I95 &lt;=5, (7-(AD$24-$I95))/6, AND(AD$24-$I95 =6,NOT(_xlfn.IFNA(ISNUMBER(SEARCH("Rending",$L95)),FALSE))), (7-(AD$24-$I95))/6, AND(AD$24-$I95 &gt;=7,NOT(_xlfn.IFNA(ISNUMBER(SEARCH("Rending",$L95)),FALSE))), 0, AD$24-$I95 =7, (7-(AD$24-1-$I95))/6, AD$24-$I95 =8, (7-(AD$24-2-$I95))/6*2/3, AD$24-$I95 =9, (7-(AD$24-3-$I95))/6*1/3, TRUE, 0)) *
IF(ISNUMBER(SEARCH("Ordinance",$L95)),7/6,1) *
IF(OR(ISNUMBER(SEARCH("Melee",$L95)),ISNUMBER(SEARCH("Bypass",$L95))),1.5,1)</f>
        <v>0</v>
      </c>
      <c r="AE95" s="17" cm="1">
        <f t="array" ref="AE95">$H95 *
IF(ISNUMBER(SEARCH("Rapid",$L95)),7/6,1) *
IF(OR(ISNUMBER(SEARCH("Beam",$L95)),ISNUMBER(SEARCH("Firestorm",$L95))),1, IF(ISNUMBER(SEARCH("Blast",$L95)),(4+$F95+(2-$F95)*0.5)/6*2,(4+$F95)/6)) *
IF(ISNUMBER(SEARCH("Fusion",$L95)), _xlfn.IFS(AE$24-$I95 &lt;=1, 9/10, AE$24-$I95 &lt;=10,(11-(AE$24-$I95))/10, AE$24-$I95 &gt;=11, 0),
_xlfn.IFS(AE$24-$I95 &lt;=1, 5/6, AE$24-$I95 &lt;=5, (7-(AE$24-$I95))/6, AND(AE$24-$I95 =6,NOT(_xlfn.IFNA(ISNUMBER(SEARCH("Rending",$L95)),FALSE))), (7-(AE$24-$I95))/6, AND(AE$24-$I95 &gt;=7,NOT(_xlfn.IFNA(ISNUMBER(SEARCH("Rending",$L95)),FALSE))), 0, AE$24-$I95 =7, (7-(AE$24-1-$I95))/6, AE$24-$I95 =8, (7-(AE$24-2-$I95))/6*2/3, AE$24-$I95 =9, (7-(AE$24-3-$I95))/6*1/3, TRUE, 0)) *
IF(ISNUMBER(SEARCH("Ordinance",$L95)),7/6,1) *
IF(OR(ISNUMBER(SEARCH("Melee",$L95)),ISNUMBER(SEARCH("Bypass",$L95))),1.5,1)</f>
        <v>0</v>
      </c>
      <c r="AF95" s="17" cm="1">
        <f t="array" ref="AF95">$H95 *
IF(ISNUMBER(SEARCH("Rapid",$L95)),7/6,1) *
IF(OR(ISNUMBER(SEARCH("Beam",$L95)),ISNUMBER(SEARCH("Firestorm",$L95))),1, IF(ISNUMBER(SEARCH("Blast",$L95)),(4+$F95+(2-$F95)*0.5)/6*2,(4+$F95)/6)) *
IF(ISNUMBER(SEARCH("Fusion",$L95)), _xlfn.IFS(AF$24-$I95 &lt;=1, 9/10, AF$24-$I95 &lt;=10,(11-(AF$24-$I95))/10, AF$24-$I95 &gt;=11, 0),
_xlfn.IFS(AF$24-$I95 &lt;=1, 5/6, AF$24-$I95 &lt;=5, (7-(AF$24-$I95))/6, AND(AF$24-$I95 =6,NOT(_xlfn.IFNA(ISNUMBER(SEARCH("Rending",$L95)),FALSE))), (7-(AF$24-$I95))/6, AND(AF$24-$I95 &gt;=7,NOT(_xlfn.IFNA(ISNUMBER(SEARCH("Rending",$L95)),FALSE))), 0, AF$24-$I95 =7, (7-(AF$24-1-$I95))/6, AF$24-$I95 =8, (7-(AF$24-2-$I95))/6*2/3, AF$24-$I95 =9, (7-(AF$24-3-$I95))/6*1/3, TRUE, 0)) *
IF(ISNUMBER(SEARCH("Ordinance",$L95)),7/6,1) *
IF(OR(ISNUMBER(SEARCH("Melee",$L95)),ISNUMBER(SEARCH("Bypass",$L95))),1.5,1)</f>
        <v>0</v>
      </c>
      <c r="AG95" s="16">
        <f t="shared" si="22"/>
        <v>1.3333333333333333</v>
      </c>
      <c r="AH95" s="16">
        <f t="shared" si="23"/>
        <v>1.7777777777777777</v>
      </c>
      <c r="AI95" s="17" cm="1">
        <f t="array" ref="AI95">$H95 *
IF(ISNUMBER(SEARCH("Rapid",$L95)),7/6,1) *
IF(OR(ISNUMBER(SEARCH("Beam",$L95)),ISNUMBER(SEARCH("Firestorm",$L95))),1, IF(ISNUMBER(SEARCH("Blast",$L95)),(4+$G95+(2-$G95)*0.5)/6*2,(4+$G95)/6)) *
_xlfn.IFS(AI$24-$I95 &lt;=1, 5/6, AI$24-$I95 &lt;=5, (7-(AI$24-$I95))/6, AND(AI$24-$I95 =6,NOT(_xlfn.IFNA(ISNUMBER(SEARCH("Rending",$L95)),FALSE))), (7-(AI$24-$I95))/6, AND(AI$24-$I95 &gt;=7,NOT(_xlfn.IFNA(ISNUMBER(SEARCH("Rending",$L95)),FALSE))), 0, AI$24-$I95 =7, (7-(AI$24-1-$I95))/6, AI$24-$I95 =8, (7-(AI$24-2-$I95))/6*2/3, AI$24-$I95 =9, (7-(AI$24-3-$I95))/6*1/3, TRUE, 0) *
IF(ISNUMBER(SEARCH("Ordinance",$L95)),7/6,1) *
IF(OR(ISNUMBER(SEARCH("Melee",$L95)),ISNUMBER(SEARCH("Bypass",$L95))),1.5,1)</f>
        <v>2.2222222222222223</v>
      </c>
      <c r="AJ95" s="17" cm="1">
        <f t="array" ref="AJ95">$H95 *
IF(ISNUMBER(SEARCH("Rapid",$L95)),7/6,1) *
IF(OR(ISNUMBER(SEARCH("Beam",$L95)),ISNUMBER(SEARCH("Firestorm",$L95))),1, IF(ISNUMBER(SEARCH("Blast",$L95)),(4+$G95+(2-$G95)*0.5)/6*2,(4+$G95)/6)) *
_xlfn.IFS(AJ$24-$I95 &lt;=1, 5/6, AJ$24-$I95 &lt;=5, (7-(AJ$24-$I95))/6, AND(AJ$24-$I95 =6,NOT(_xlfn.IFNA(ISNUMBER(SEARCH("Rending",$L95)),FALSE))), (7-(AJ$24-$I95))/6, AND(AJ$24-$I95 &gt;=7,NOT(_xlfn.IFNA(ISNUMBER(SEARCH("Rending",$L95)),FALSE))), 0, AJ$24-$I95 =7, (7-(AJ$24-1-$I95))/6, AJ$24-$I95 =8, (7-(AJ$24-2-$I95))/6*2/3, AJ$24-$I95 =9, (7-(AJ$24-3-$I95))/6*1/3, TRUE, 0) *
IF(ISNUMBER(SEARCH("Ordinance",$L95)),7/6,1) *
IF(OR(ISNUMBER(SEARCH("Melee",$L95)),ISNUMBER(SEARCH("Bypass",$L95))),1.5,1)</f>
        <v>2.2222222222222223</v>
      </c>
      <c r="AK95" s="17" cm="1">
        <f t="array" ref="AK95">$H95 *
IF(ISNUMBER(SEARCH("Rapid",$L95)),7/6,1) *
IF(OR(ISNUMBER(SEARCH("Beam",$L95)),ISNUMBER(SEARCH("Firestorm",$L95))),1, IF(ISNUMBER(SEARCH("Blast",$L95)),(4+$G95+(2-$G95)*0.5)/6*2,(4+$G95)/6)) *
_xlfn.IFS(AK$24-$I95 &lt;=1, 5/6, AK$24-$I95 &lt;=5, (7-(AK$24-$I95))/6, AND(AK$24-$I95 =6,NOT(_xlfn.IFNA(ISNUMBER(SEARCH("Rending",$L95)),FALSE))), (7-(AK$24-$I95))/6, AND(AK$24-$I95 &gt;=7,NOT(_xlfn.IFNA(ISNUMBER(SEARCH("Rending",$L95)),FALSE))), 0, AK$24-$I95 =7, (7-(AK$24-1-$I95))/6, AK$24-$I95 =8, (7-(AK$24-2-$I95))/6*2/3, AK$24-$I95 =9, (7-(AK$24-3-$I95))/6*1/3, TRUE, 0) *
IF(ISNUMBER(SEARCH("Ordinance",$L95)),7/6,1) *
IF(OR(ISNUMBER(SEARCH("Melee",$L95)),ISNUMBER(SEARCH("Bypass",$L95))),1.5,1)</f>
        <v>1.7777777777777777</v>
      </c>
      <c r="AL95" s="17" cm="1">
        <f t="array" ref="AL95">$H95 *
IF(ISNUMBER(SEARCH("Rapid",$L95)),7/6,1) *
IF(OR(ISNUMBER(SEARCH("Beam",$L95)),ISNUMBER(SEARCH("Firestorm",$L95))),1, IF(ISNUMBER(SEARCH("Blast",$L95)),(4+$G95+(2-$G95)*0.5)/6*2,(4+$G95)/6)) *
_xlfn.IFS(AL$24-$I95 &lt;=1, 5/6, AL$24-$I95 &lt;=5, (7-(AL$24-$I95))/6, AND(AL$24-$I95 =6,NOT(_xlfn.IFNA(ISNUMBER(SEARCH("Rending",$L95)),FALSE))), (7-(AL$24-$I95))/6, AND(AL$24-$I95 &gt;=7,NOT(_xlfn.IFNA(ISNUMBER(SEARCH("Rending",$L95)),FALSE))), 0, AL$24-$I95 =7, (7-(AL$24-1-$I95))/6, AL$24-$I95 =8, (7-(AL$24-2-$I95))/6*2/3, AL$24-$I95 =9, (7-(AL$24-3-$I95))/6*1/3, TRUE, 0) *
IF(ISNUMBER(SEARCH("Ordinance",$L95)),7/6,1) *
IF(OR(ISNUMBER(SEARCH("Melee",$L95)),ISNUMBER(SEARCH("Bypass",$L95))),1.5,1)</f>
        <v>1.3333333333333333</v>
      </c>
      <c r="AM95" s="17" cm="1">
        <f t="array" ref="AM95">$H95 *
IF(ISNUMBER(SEARCH("Rapid",$L95)),7/6,1) *
IF(OR(ISNUMBER(SEARCH("Beam",$L95)),ISNUMBER(SEARCH("Firestorm",$L95))),1, IF(ISNUMBER(SEARCH("Blast",$L95)),(4+$G95+(2-$G95)*0.5)/6*2,(4+$G95)/6)) *
_xlfn.IFS(AM$24-$I95 &lt;=1, 5/6, AM$24-$I95 &lt;=5, (7-(AM$24-$I95))/6, AND(AM$24-$I95 =6,NOT(_xlfn.IFNA(ISNUMBER(SEARCH("Rending",$L95)),FALSE))), (7-(AM$24-$I95))/6, AND(AM$24-$I95 &gt;=7,NOT(_xlfn.IFNA(ISNUMBER(SEARCH("Rending",$L95)),FALSE))), 0, AM$24-$I95 =7, (7-(AM$24-1-$I95))/6, AM$24-$I95 =8, (7-(AM$24-2-$I95))/6*2/3, AM$24-$I95 =9, (7-(AM$24-3-$I95))/6*1/3, TRUE, 0) *
IF(ISNUMBER(SEARCH("Ordinance",$L95)),7/6,1) *
IF(OR(ISNUMBER(SEARCH("Melee",$L95)),ISNUMBER(SEARCH("Bypass",$L95))),1.5,1)</f>
        <v>0.88888888888888884</v>
      </c>
      <c r="AN95" s="17" cm="1">
        <f t="array" ref="AN95">$H95 *
IF(ISNUMBER(SEARCH("Rapid",$L95)),7/6,1) *
IF(OR(ISNUMBER(SEARCH("Beam",$L95)),ISNUMBER(SEARCH("Firestorm",$L95))),1, IF(ISNUMBER(SEARCH("Blast",$L95)),(4+$G95+(2-$G95)*0.5)/6*2,(4+$G95)/6)) *
_xlfn.IFS(AN$24-$I95 &lt;=1, 5/6, AN$24-$I95 &lt;=5, (7-(AN$24-$I95))/6, AND(AN$24-$I95 =6,NOT(_xlfn.IFNA(ISNUMBER(SEARCH("Rending",$L95)),FALSE))), (7-(AN$24-$I95))/6, AND(AN$24-$I95 &gt;=7,NOT(_xlfn.IFNA(ISNUMBER(SEARCH("Rending",$L95)),FALSE))), 0, AN$24-$I95 =7, (7-(AN$24-1-$I95))/6, AN$24-$I95 =8, (7-(AN$24-2-$I95))/6*2/3, AN$24-$I95 =9, (7-(AN$24-3-$I95))/6*1/3, TRUE, 0) *
IF(ISNUMBER(SEARCH("Ordinance",$L95)),7/6,1) *
IF(OR(ISNUMBER(SEARCH("Melee",$L95)),ISNUMBER(SEARCH("Bypass",$L95))),1.5,1)</f>
        <v>0.44444444444444442</v>
      </c>
      <c r="AO95" s="17" cm="1">
        <f t="array" ref="AO95">$H95 *
IF(ISNUMBER(SEARCH("Rapid",$L95)),7/6,1) *
IF(OR(ISNUMBER(SEARCH("Beam",$L95)),ISNUMBER(SEARCH("Firestorm",$L95))),1, IF(ISNUMBER(SEARCH("Blast",$L95)),(4+$G95+(2-$G95)*0.5)/6*2,(4+$G95)/6)) *
_xlfn.IFS(AO$24-$I95 &lt;=1, 5/6, AO$24-$I95 &lt;=5, (7-(AO$24-$I95))/6, AND(AO$24-$I95 =6,NOT(_xlfn.IFNA(ISNUMBER(SEARCH("Rending",$L95)),FALSE))), (7-(AO$24-$I95))/6, AND(AO$24-$I95 &gt;=7,NOT(_xlfn.IFNA(ISNUMBER(SEARCH("Rending",$L95)),FALSE))), 0, AO$24-$I95 =7, (7-(AO$24-1-$I95))/6, AO$24-$I95 =8, (7-(AO$24-2-$I95))/6*2/3, AO$24-$I95 =9, (7-(AO$24-3-$I95))/6*1/3, TRUE, 0) *
IF(ISNUMBER(SEARCH("Ordinance",$L95)),7/6,1) *
IF(OR(ISNUMBER(SEARCH("Melee",$L95)),ISNUMBER(SEARCH("Bypass",$L95))),1.5,1)</f>
        <v>0</v>
      </c>
      <c r="AP95" s="17" cm="1">
        <f t="array" ref="AP95">$H95 *
IF(ISNUMBER(SEARCH("Rapid",$L95)),7/6,1) *
IF(OR(ISNUMBER(SEARCH("Beam",$L95)),ISNUMBER(SEARCH("Firestorm",$L95))),1, IF(ISNUMBER(SEARCH("Blast",$L95)),(4+$G95+(2-$G95)*0.5)/6*2,(4+$G95)/6)) *
_xlfn.IFS(AP$24-$I95 &lt;=1, 5/6, AP$24-$I95 &lt;=5, (7-(AP$24-$I95))/6, AND(AP$24-$I95 =6,NOT(_xlfn.IFNA(ISNUMBER(SEARCH("Rending",$L95)),FALSE))), (7-(AP$24-$I95))/6, AND(AP$24-$I95 &gt;=7,NOT(_xlfn.IFNA(ISNUMBER(SEARCH("Rending",$L95)),FALSE))), 0, AP$24-$I95 =7, (7-(AP$24-1-$I95))/6, AP$24-$I95 =8, (7-(AP$24-2-$I95))/6*2/3, AP$24-$I95 =9, (7-(AP$24-3-$I95))/6*1/3, TRUE, 0) *
IF(ISNUMBER(SEARCH("Ordinance",$L95)),7/6,1) *
IF(OR(ISNUMBER(SEARCH("Melee",$L95)),ISNUMBER(SEARCH("Bypass",$L95))),1.5,1)</f>
        <v>0</v>
      </c>
      <c r="AQ95" s="17" cm="1">
        <f t="array" ref="AQ95">$H95 *
IF(ISNUMBER(SEARCH("Rapid",$L95)),7/6,1) *
IF(OR(ISNUMBER(SEARCH("Beam",$L95)),ISNUMBER(SEARCH("Firestorm",$L95))),1, IF(ISNUMBER(SEARCH("Blast",$L95)),(4+$G95+(2-$G95)*0.5)/6*2,(4+$G95)/6)) *
_xlfn.IFS(AQ$24-$I95 &lt;=1, 5/6, AQ$24-$I95 &lt;=5, (7-(AQ$24-$I95))/6, AND(AQ$24-$I95 =6,NOT(_xlfn.IFNA(ISNUMBER(SEARCH("Rending",$L95)),FALSE))), (7-(AQ$24-$I95))/6, AND(AQ$24-$I95 &gt;=7,NOT(_xlfn.IFNA(ISNUMBER(SEARCH("Rending",$L95)),FALSE))), 0, AQ$24-$I95 =7, (7-(AQ$24-1-$I95))/6, AQ$24-$I95 =8, (7-(AQ$24-2-$I95))/6*2/3, AQ$24-$I95 =9, (7-(AQ$24-3-$I95))/6*1/3, TRUE, 0) *
IF(ISNUMBER(SEARCH("Ordinance",$L95)),7/6,1) *
IF(OR(ISNUMBER(SEARCH("Melee",$L95)),ISNUMBER(SEARCH("Bypass",$L95))),1.5,1)</f>
        <v>0</v>
      </c>
      <c r="AS95" s="16">
        <f t="shared" si="26"/>
        <v>0.88888888888888884</v>
      </c>
      <c r="AT95" s="16">
        <f t="shared" si="27"/>
        <v>1.1851851851851851</v>
      </c>
      <c r="AU95" s="16">
        <f t="shared" si="28"/>
        <v>1.8518518518518519</v>
      </c>
      <c r="AV95" s="2">
        <v>10</v>
      </c>
    </row>
    <row r="96" spans="1:48" x14ac:dyDescent="0.3">
      <c r="A96" t="s">
        <v>277</v>
      </c>
      <c r="B96" s="3">
        <v>18</v>
      </c>
      <c r="C96" s="3">
        <v>32</v>
      </c>
      <c r="D96" s="3">
        <v>1</v>
      </c>
      <c r="E96" s="3">
        <v>2</v>
      </c>
      <c r="F96" s="10">
        <v>0</v>
      </c>
      <c r="G96" s="10">
        <v>0</v>
      </c>
      <c r="H96" s="3">
        <v>4</v>
      </c>
      <c r="I96" s="3">
        <v>8</v>
      </c>
      <c r="J96" s="3" t="s">
        <v>254</v>
      </c>
      <c r="K96" s="3">
        <v>60</v>
      </c>
      <c r="L96" s="3" t="s">
        <v>255</v>
      </c>
      <c r="M96" s="3" t="s">
        <v>199</v>
      </c>
      <c r="N96" s="3">
        <v>11</v>
      </c>
      <c r="O96" s="3">
        <v>11</v>
      </c>
      <c r="P96" s="3">
        <v>15</v>
      </c>
      <c r="Q96" s="3" t="s">
        <v>200</v>
      </c>
      <c r="R96" s="3">
        <v>7</v>
      </c>
      <c r="S96" s="3">
        <v>9</v>
      </c>
      <c r="T96" s="3">
        <v>4</v>
      </c>
      <c r="V96" s="16">
        <f t="shared" si="20"/>
        <v>1.3333333333333333</v>
      </c>
      <c r="W96" s="16">
        <f t="shared" si="21"/>
        <v>1.7777777777777777</v>
      </c>
      <c r="X96" s="17" cm="1">
        <f t="array" ref="X96">$H96 *
IF(ISNUMBER(SEARCH("Rapid",$L96)),7/6,1) *
IF(OR(ISNUMBER(SEARCH("Beam",$L96)),ISNUMBER(SEARCH("Firestorm",$L96))),1, IF(ISNUMBER(SEARCH("Blast",$L96)),(4+$F96+(2-$F96)*0.5)/6*2,(4+$F96)/6)) *
IF(ISNUMBER(SEARCH("Fusion",$L96)), _xlfn.IFS(X$24-$I96 &lt;=1, 9/10, X$24-$I96 &lt;=10,(11-(X$24-$I96))/10, X$24-$I96 &gt;=11, 0),
_xlfn.IFS(X$24-$I96 &lt;=1, 5/6, X$24-$I96 &lt;=5, (7-(X$24-$I96))/6, AND(X$24-$I96 =6,NOT(_xlfn.IFNA(ISNUMBER(SEARCH("Rending",$L96)),FALSE))), (7-(X$24-$I96))/6, AND(X$24-$I96 &gt;=7,NOT(_xlfn.IFNA(ISNUMBER(SEARCH("Rending",$L96)),FALSE))), 0, X$24-$I96 =7, (7-(X$24-1-$I96))/6, X$24-$I96 =8, (7-(X$24-2-$I96))/6*2/3, X$24-$I96 =9, (7-(X$24-3-$I96))/6*1/3, TRUE, 0)) *
IF(ISNUMBER(SEARCH("Ordinance",$L96)),7/6,1) *
IF(OR(ISNUMBER(SEARCH("Melee",$L96)),ISNUMBER(SEARCH("Bypass",$L96))),1.5,1)</f>
        <v>2.2222222222222223</v>
      </c>
      <c r="Y96" s="17" cm="1">
        <f t="array" ref="Y96">$H96 *
IF(ISNUMBER(SEARCH("Rapid",$L96)),7/6,1) *
IF(OR(ISNUMBER(SEARCH("Beam",$L96)),ISNUMBER(SEARCH("Firestorm",$L96))),1, IF(ISNUMBER(SEARCH("Blast",$L96)),(4+$F96+(2-$F96)*0.5)/6*2,(4+$F96)/6)) *
IF(ISNUMBER(SEARCH("Fusion",$L96)), _xlfn.IFS(Y$24-$I96 &lt;=1, 9/10, Y$24-$I96 &lt;=10,(11-(Y$24-$I96))/10, Y$24-$I96 &gt;=11, 0),
_xlfn.IFS(Y$24-$I96 &lt;=1, 5/6, Y$24-$I96 &lt;=5, (7-(Y$24-$I96))/6, AND(Y$24-$I96 =6,NOT(_xlfn.IFNA(ISNUMBER(SEARCH("Rending",$L96)),FALSE))), (7-(Y$24-$I96))/6, AND(Y$24-$I96 &gt;=7,NOT(_xlfn.IFNA(ISNUMBER(SEARCH("Rending",$L96)),FALSE))), 0, Y$24-$I96 =7, (7-(Y$24-1-$I96))/6, Y$24-$I96 =8, (7-(Y$24-2-$I96))/6*2/3, Y$24-$I96 =9, (7-(Y$24-3-$I96))/6*1/3, TRUE, 0)) *
IF(ISNUMBER(SEARCH("Ordinance",$L96)),7/6,1) *
IF(OR(ISNUMBER(SEARCH("Melee",$L96)),ISNUMBER(SEARCH("Bypass",$L96))),1.5,1)</f>
        <v>2.2222222222222223</v>
      </c>
      <c r="Z96" s="17" cm="1">
        <f t="array" ref="Z96">$H96 *
IF(ISNUMBER(SEARCH("Rapid",$L96)),7/6,1) *
IF(OR(ISNUMBER(SEARCH("Beam",$L96)),ISNUMBER(SEARCH("Firestorm",$L96))),1, IF(ISNUMBER(SEARCH("Blast",$L96)),(4+$F96+(2-$F96)*0.5)/6*2,(4+$F96)/6)) *
IF(ISNUMBER(SEARCH("Fusion",$L96)), _xlfn.IFS(Z$24-$I96 &lt;=1, 9/10, Z$24-$I96 &lt;=10,(11-(Z$24-$I96))/10, Z$24-$I96 &gt;=11, 0),
_xlfn.IFS(Z$24-$I96 &lt;=1, 5/6, Z$24-$I96 &lt;=5, (7-(Z$24-$I96))/6, AND(Z$24-$I96 =6,NOT(_xlfn.IFNA(ISNUMBER(SEARCH("Rending",$L96)),FALSE))), (7-(Z$24-$I96))/6, AND(Z$24-$I96 &gt;=7,NOT(_xlfn.IFNA(ISNUMBER(SEARCH("Rending",$L96)),FALSE))), 0, Z$24-$I96 =7, (7-(Z$24-1-$I96))/6, Z$24-$I96 =8, (7-(Z$24-2-$I96))/6*2/3, Z$24-$I96 =9, (7-(Z$24-3-$I96))/6*1/3, TRUE, 0)) *
IF(ISNUMBER(SEARCH("Ordinance",$L96)),7/6,1) *
IF(OR(ISNUMBER(SEARCH("Melee",$L96)),ISNUMBER(SEARCH("Bypass",$L96))),1.5,1)</f>
        <v>1.7777777777777777</v>
      </c>
      <c r="AA96" s="17" cm="1">
        <f t="array" ref="AA96">$H96 *
IF(ISNUMBER(SEARCH("Rapid",$L96)),7/6,1) *
IF(OR(ISNUMBER(SEARCH("Beam",$L96)),ISNUMBER(SEARCH("Firestorm",$L96))),1, IF(ISNUMBER(SEARCH("Blast",$L96)),(4+$F96+(2-$F96)*0.5)/6*2,(4+$F96)/6)) *
IF(ISNUMBER(SEARCH("Fusion",$L96)), _xlfn.IFS(AA$24-$I96 &lt;=1, 9/10, AA$24-$I96 &lt;=10,(11-(AA$24-$I96))/10, AA$24-$I96 &gt;=11, 0),
_xlfn.IFS(AA$24-$I96 &lt;=1, 5/6, AA$24-$I96 &lt;=5, (7-(AA$24-$I96))/6, AND(AA$24-$I96 =6,NOT(_xlfn.IFNA(ISNUMBER(SEARCH("Rending",$L96)),FALSE))), (7-(AA$24-$I96))/6, AND(AA$24-$I96 &gt;=7,NOT(_xlfn.IFNA(ISNUMBER(SEARCH("Rending",$L96)),FALSE))), 0, AA$24-$I96 =7, (7-(AA$24-1-$I96))/6, AA$24-$I96 =8, (7-(AA$24-2-$I96))/6*2/3, AA$24-$I96 =9, (7-(AA$24-3-$I96))/6*1/3, TRUE, 0)) *
IF(ISNUMBER(SEARCH("Ordinance",$L96)),7/6,1) *
IF(OR(ISNUMBER(SEARCH("Melee",$L96)),ISNUMBER(SEARCH("Bypass",$L96))),1.5,1)</f>
        <v>1.3333333333333333</v>
      </c>
      <c r="AB96" s="17" cm="1">
        <f t="array" ref="AB96">$H96 *
IF(ISNUMBER(SEARCH("Rapid",$L96)),7/6,1) *
IF(OR(ISNUMBER(SEARCH("Beam",$L96)),ISNUMBER(SEARCH("Firestorm",$L96))),1, IF(ISNUMBER(SEARCH("Blast",$L96)),(4+$F96+(2-$F96)*0.5)/6*2,(4+$F96)/6)) *
IF(ISNUMBER(SEARCH("Fusion",$L96)), _xlfn.IFS(AB$24-$I96 &lt;=1, 9/10, AB$24-$I96 &lt;=10,(11-(AB$24-$I96))/10, AB$24-$I96 &gt;=11, 0),
_xlfn.IFS(AB$24-$I96 &lt;=1, 5/6, AB$24-$I96 &lt;=5, (7-(AB$24-$I96))/6, AND(AB$24-$I96 =6,NOT(_xlfn.IFNA(ISNUMBER(SEARCH("Rending",$L96)),FALSE))), (7-(AB$24-$I96))/6, AND(AB$24-$I96 &gt;=7,NOT(_xlfn.IFNA(ISNUMBER(SEARCH("Rending",$L96)),FALSE))), 0, AB$24-$I96 =7, (7-(AB$24-1-$I96))/6, AB$24-$I96 =8, (7-(AB$24-2-$I96))/6*2/3, AB$24-$I96 =9, (7-(AB$24-3-$I96))/6*1/3, TRUE, 0)) *
IF(ISNUMBER(SEARCH("Ordinance",$L96)),7/6,1) *
IF(OR(ISNUMBER(SEARCH("Melee",$L96)),ISNUMBER(SEARCH("Bypass",$L96))),1.5,1)</f>
        <v>0.88888888888888884</v>
      </c>
      <c r="AC96" s="17" cm="1">
        <f t="array" ref="AC96">$H96 *
IF(ISNUMBER(SEARCH("Rapid",$L96)),7/6,1) *
IF(OR(ISNUMBER(SEARCH("Beam",$L96)),ISNUMBER(SEARCH("Firestorm",$L96))),1, IF(ISNUMBER(SEARCH("Blast",$L96)),(4+$F96+(2-$F96)*0.5)/6*2,(4+$F96)/6)) *
IF(ISNUMBER(SEARCH("Fusion",$L96)), _xlfn.IFS(AC$24-$I96 &lt;=1, 9/10, AC$24-$I96 &lt;=10,(11-(AC$24-$I96))/10, AC$24-$I96 &gt;=11, 0),
_xlfn.IFS(AC$24-$I96 &lt;=1, 5/6, AC$24-$I96 &lt;=5, (7-(AC$24-$I96))/6, AND(AC$24-$I96 =6,NOT(_xlfn.IFNA(ISNUMBER(SEARCH("Rending",$L96)),FALSE))), (7-(AC$24-$I96))/6, AND(AC$24-$I96 &gt;=7,NOT(_xlfn.IFNA(ISNUMBER(SEARCH("Rending",$L96)),FALSE))), 0, AC$24-$I96 =7, (7-(AC$24-1-$I96))/6, AC$24-$I96 =8, (7-(AC$24-2-$I96))/6*2/3, AC$24-$I96 =9, (7-(AC$24-3-$I96))/6*1/3, TRUE, 0)) *
IF(ISNUMBER(SEARCH("Ordinance",$L96)),7/6,1) *
IF(OR(ISNUMBER(SEARCH("Melee",$L96)),ISNUMBER(SEARCH("Bypass",$L96))),1.5,1)</f>
        <v>0.44444444444444442</v>
      </c>
      <c r="AD96" s="17" cm="1">
        <f t="array" ref="AD96">$H96 *
IF(ISNUMBER(SEARCH("Rapid",$L96)),7/6,1) *
IF(OR(ISNUMBER(SEARCH("Beam",$L96)),ISNUMBER(SEARCH("Firestorm",$L96))),1, IF(ISNUMBER(SEARCH("Blast",$L96)),(4+$F96+(2-$F96)*0.5)/6*2,(4+$F96)/6)) *
IF(ISNUMBER(SEARCH("Fusion",$L96)), _xlfn.IFS(AD$24-$I96 &lt;=1, 9/10, AD$24-$I96 &lt;=10,(11-(AD$24-$I96))/10, AD$24-$I96 &gt;=11, 0),
_xlfn.IFS(AD$24-$I96 &lt;=1, 5/6, AD$24-$I96 &lt;=5, (7-(AD$24-$I96))/6, AND(AD$24-$I96 =6,NOT(_xlfn.IFNA(ISNUMBER(SEARCH("Rending",$L96)),FALSE))), (7-(AD$24-$I96))/6, AND(AD$24-$I96 &gt;=7,NOT(_xlfn.IFNA(ISNUMBER(SEARCH("Rending",$L96)),FALSE))), 0, AD$24-$I96 =7, (7-(AD$24-1-$I96))/6, AD$24-$I96 =8, (7-(AD$24-2-$I96))/6*2/3, AD$24-$I96 =9, (7-(AD$24-3-$I96))/6*1/3, TRUE, 0)) *
IF(ISNUMBER(SEARCH("Ordinance",$L96)),7/6,1) *
IF(OR(ISNUMBER(SEARCH("Melee",$L96)),ISNUMBER(SEARCH("Bypass",$L96))),1.5,1)</f>
        <v>0</v>
      </c>
      <c r="AE96" s="17" cm="1">
        <f t="array" ref="AE96">$H96 *
IF(ISNUMBER(SEARCH("Rapid",$L96)),7/6,1) *
IF(OR(ISNUMBER(SEARCH("Beam",$L96)),ISNUMBER(SEARCH("Firestorm",$L96))),1, IF(ISNUMBER(SEARCH("Blast",$L96)),(4+$F96+(2-$F96)*0.5)/6*2,(4+$F96)/6)) *
IF(ISNUMBER(SEARCH("Fusion",$L96)), _xlfn.IFS(AE$24-$I96 &lt;=1, 9/10, AE$24-$I96 &lt;=10,(11-(AE$24-$I96))/10, AE$24-$I96 &gt;=11, 0),
_xlfn.IFS(AE$24-$I96 &lt;=1, 5/6, AE$24-$I96 &lt;=5, (7-(AE$24-$I96))/6, AND(AE$24-$I96 =6,NOT(_xlfn.IFNA(ISNUMBER(SEARCH("Rending",$L96)),FALSE))), (7-(AE$24-$I96))/6, AND(AE$24-$I96 &gt;=7,NOT(_xlfn.IFNA(ISNUMBER(SEARCH("Rending",$L96)),FALSE))), 0, AE$24-$I96 =7, (7-(AE$24-1-$I96))/6, AE$24-$I96 =8, (7-(AE$24-2-$I96))/6*2/3, AE$24-$I96 =9, (7-(AE$24-3-$I96))/6*1/3, TRUE, 0)) *
IF(ISNUMBER(SEARCH("Ordinance",$L96)),7/6,1) *
IF(OR(ISNUMBER(SEARCH("Melee",$L96)),ISNUMBER(SEARCH("Bypass",$L96))),1.5,1)</f>
        <v>0</v>
      </c>
      <c r="AF96" s="17" cm="1">
        <f t="array" ref="AF96">$H96 *
IF(ISNUMBER(SEARCH("Rapid",$L96)),7/6,1) *
IF(OR(ISNUMBER(SEARCH("Beam",$L96)),ISNUMBER(SEARCH("Firestorm",$L96))),1, IF(ISNUMBER(SEARCH("Blast",$L96)),(4+$F96+(2-$F96)*0.5)/6*2,(4+$F96)/6)) *
IF(ISNUMBER(SEARCH("Fusion",$L96)), _xlfn.IFS(AF$24-$I96 &lt;=1, 9/10, AF$24-$I96 &lt;=10,(11-(AF$24-$I96))/10, AF$24-$I96 &gt;=11, 0),
_xlfn.IFS(AF$24-$I96 &lt;=1, 5/6, AF$24-$I96 &lt;=5, (7-(AF$24-$I96))/6, AND(AF$24-$I96 =6,NOT(_xlfn.IFNA(ISNUMBER(SEARCH("Rending",$L96)),FALSE))), (7-(AF$24-$I96))/6, AND(AF$24-$I96 &gt;=7,NOT(_xlfn.IFNA(ISNUMBER(SEARCH("Rending",$L96)),FALSE))), 0, AF$24-$I96 =7, (7-(AF$24-1-$I96))/6, AF$24-$I96 =8, (7-(AF$24-2-$I96))/6*2/3, AF$24-$I96 =9, (7-(AF$24-3-$I96))/6*1/3, TRUE, 0)) *
IF(ISNUMBER(SEARCH("Ordinance",$L96)),7/6,1) *
IF(OR(ISNUMBER(SEARCH("Melee",$L96)),ISNUMBER(SEARCH("Bypass",$L96))),1.5,1)</f>
        <v>0</v>
      </c>
      <c r="AG96" s="16">
        <f t="shared" si="22"/>
        <v>1.3333333333333333</v>
      </c>
      <c r="AH96" s="16">
        <f t="shared" si="23"/>
        <v>1.7777777777777777</v>
      </c>
      <c r="AI96" s="17" cm="1">
        <f t="array" ref="AI96">$H96 *
IF(ISNUMBER(SEARCH("Rapid",$L96)),7/6,1) *
IF(OR(ISNUMBER(SEARCH("Beam",$L96)),ISNUMBER(SEARCH("Firestorm",$L96))),1, IF(ISNUMBER(SEARCH("Blast",$L96)),(4+$G96+(2-$G96)*0.5)/6*2,(4+$G96)/6)) *
_xlfn.IFS(AI$24-$I96 &lt;=1, 5/6, AI$24-$I96 &lt;=5, (7-(AI$24-$I96))/6, AND(AI$24-$I96 =6,NOT(_xlfn.IFNA(ISNUMBER(SEARCH("Rending",$L96)),FALSE))), (7-(AI$24-$I96))/6, AND(AI$24-$I96 &gt;=7,NOT(_xlfn.IFNA(ISNUMBER(SEARCH("Rending",$L96)),FALSE))), 0, AI$24-$I96 =7, (7-(AI$24-1-$I96))/6, AI$24-$I96 =8, (7-(AI$24-2-$I96))/6*2/3, AI$24-$I96 =9, (7-(AI$24-3-$I96))/6*1/3, TRUE, 0) *
IF(ISNUMBER(SEARCH("Ordinance",$L96)),7/6,1) *
IF(OR(ISNUMBER(SEARCH("Melee",$L96)),ISNUMBER(SEARCH("Bypass",$L96))),1.5,1)</f>
        <v>2.2222222222222223</v>
      </c>
      <c r="AJ96" s="17" cm="1">
        <f t="array" ref="AJ96">$H96 *
IF(ISNUMBER(SEARCH("Rapid",$L96)),7/6,1) *
IF(OR(ISNUMBER(SEARCH("Beam",$L96)),ISNUMBER(SEARCH("Firestorm",$L96))),1, IF(ISNUMBER(SEARCH("Blast",$L96)),(4+$G96+(2-$G96)*0.5)/6*2,(4+$G96)/6)) *
_xlfn.IFS(AJ$24-$I96 &lt;=1, 5/6, AJ$24-$I96 &lt;=5, (7-(AJ$24-$I96))/6, AND(AJ$24-$I96 =6,NOT(_xlfn.IFNA(ISNUMBER(SEARCH("Rending",$L96)),FALSE))), (7-(AJ$24-$I96))/6, AND(AJ$24-$I96 &gt;=7,NOT(_xlfn.IFNA(ISNUMBER(SEARCH("Rending",$L96)),FALSE))), 0, AJ$24-$I96 =7, (7-(AJ$24-1-$I96))/6, AJ$24-$I96 =8, (7-(AJ$24-2-$I96))/6*2/3, AJ$24-$I96 =9, (7-(AJ$24-3-$I96))/6*1/3, TRUE, 0) *
IF(ISNUMBER(SEARCH("Ordinance",$L96)),7/6,1) *
IF(OR(ISNUMBER(SEARCH("Melee",$L96)),ISNUMBER(SEARCH("Bypass",$L96))),1.5,1)</f>
        <v>2.2222222222222223</v>
      </c>
      <c r="AK96" s="17" cm="1">
        <f t="array" ref="AK96">$H96 *
IF(ISNUMBER(SEARCH("Rapid",$L96)),7/6,1) *
IF(OR(ISNUMBER(SEARCH("Beam",$L96)),ISNUMBER(SEARCH("Firestorm",$L96))),1, IF(ISNUMBER(SEARCH("Blast",$L96)),(4+$G96+(2-$G96)*0.5)/6*2,(4+$G96)/6)) *
_xlfn.IFS(AK$24-$I96 &lt;=1, 5/6, AK$24-$I96 &lt;=5, (7-(AK$24-$I96))/6, AND(AK$24-$I96 =6,NOT(_xlfn.IFNA(ISNUMBER(SEARCH("Rending",$L96)),FALSE))), (7-(AK$24-$I96))/6, AND(AK$24-$I96 &gt;=7,NOT(_xlfn.IFNA(ISNUMBER(SEARCH("Rending",$L96)),FALSE))), 0, AK$24-$I96 =7, (7-(AK$24-1-$I96))/6, AK$24-$I96 =8, (7-(AK$24-2-$I96))/6*2/3, AK$24-$I96 =9, (7-(AK$24-3-$I96))/6*1/3, TRUE, 0) *
IF(ISNUMBER(SEARCH("Ordinance",$L96)),7/6,1) *
IF(OR(ISNUMBER(SEARCH("Melee",$L96)),ISNUMBER(SEARCH("Bypass",$L96))),1.5,1)</f>
        <v>1.7777777777777777</v>
      </c>
      <c r="AL96" s="17" cm="1">
        <f t="array" ref="AL96">$H96 *
IF(ISNUMBER(SEARCH("Rapid",$L96)),7/6,1) *
IF(OR(ISNUMBER(SEARCH("Beam",$L96)),ISNUMBER(SEARCH("Firestorm",$L96))),1, IF(ISNUMBER(SEARCH("Blast",$L96)),(4+$G96+(2-$G96)*0.5)/6*2,(4+$G96)/6)) *
_xlfn.IFS(AL$24-$I96 &lt;=1, 5/6, AL$24-$I96 &lt;=5, (7-(AL$24-$I96))/6, AND(AL$24-$I96 =6,NOT(_xlfn.IFNA(ISNUMBER(SEARCH("Rending",$L96)),FALSE))), (7-(AL$24-$I96))/6, AND(AL$24-$I96 &gt;=7,NOT(_xlfn.IFNA(ISNUMBER(SEARCH("Rending",$L96)),FALSE))), 0, AL$24-$I96 =7, (7-(AL$24-1-$I96))/6, AL$24-$I96 =8, (7-(AL$24-2-$I96))/6*2/3, AL$24-$I96 =9, (7-(AL$24-3-$I96))/6*1/3, TRUE, 0) *
IF(ISNUMBER(SEARCH("Ordinance",$L96)),7/6,1) *
IF(OR(ISNUMBER(SEARCH("Melee",$L96)),ISNUMBER(SEARCH("Bypass",$L96))),1.5,1)</f>
        <v>1.3333333333333333</v>
      </c>
      <c r="AM96" s="17" cm="1">
        <f t="array" ref="AM96">$H96 *
IF(ISNUMBER(SEARCH("Rapid",$L96)),7/6,1) *
IF(OR(ISNUMBER(SEARCH("Beam",$L96)),ISNUMBER(SEARCH("Firestorm",$L96))),1, IF(ISNUMBER(SEARCH("Blast",$L96)),(4+$G96+(2-$G96)*0.5)/6*2,(4+$G96)/6)) *
_xlfn.IFS(AM$24-$I96 &lt;=1, 5/6, AM$24-$I96 &lt;=5, (7-(AM$24-$I96))/6, AND(AM$24-$I96 =6,NOT(_xlfn.IFNA(ISNUMBER(SEARCH("Rending",$L96)),FALSE))), (7-(AM$24-$I96))/6, AND(AM$24-$I96 &gt;=7,NOT(_xlfn.IFNA(ISNUMBER(SEARCH("Rending",$L96)),FALSE))), 0, AM$24-$I96 =7, (7-(AM$24-1-$I96))/6, AM$24-$I96 =8, (7-(AM$24-2-$I96))/6*2/3, AM$24-$I96 =9, (7-(AM$24-3-$I96))/6*1/3, TRUE, 0) *
IF(ISNUMBER(SEARCH("Ordinance",$L96)),7/6,1) *
IF(OR(ISNUMBER(SEARCH("Melee",$L96)),ISNUMBER(SEARCH("Bypass",$L96))),1.5,1)</f>
        <v>0.88888888888888884</v>
      </c>
      <c r="AN96" s="17" cm="1">
        <f t="array" ref="AN96">$H96 *
IF(ISNUMBER(SEARCH("Rapid",$L96)),7/6,1) *
IF(OR(ISNUMBER(SEARCH("Beam",$L96)),ISNUMBER(SEARCH("Firestorm",$L96))),1, IF(ISNUMBER(SEARCH("Blast",$L96)),(4+$G96+(2-$G96)*0.5)/6*2,(4+$G96)/6)) *
_xlfn.IFS(AN$24-$I96 &lt;=1, 5/6, AN$24-$I96 &lt;=5, (7-(AN$24-$I96))/6, AND(AN$24-$I96 =6,NOT(_xlfn.IFNA(ISNUMBER(SEARCH("Rending",$L96)),FALSE))), (7-(AN$24-$I96))/6, AND(AN$24-$I96 &gt;=7,NOT(_xlfn.IFNA(ISNUMBER(SEARCH("Rending",$L96)),FALSE))), 0, AN$24-$I96 =7, (7-(AN$24-1-$I96))/6, AN$24-$I96 =8, (7-(AN$24-2-$I96))/6*2/3, AN$24-$I96 =9, (7-(AN$24-3-$I96))/6*1/3, TRUE, 0) *
IF(ISNUMBER(SEARCH("Ordinance",$L96)),7/6,1) *
IF(OR(ISNUMBER(SEARCH("Melee",$L96)),ISNUMBER(SEARCH("Bypass",$L96))),1.5,1)</f>
        <v>0.44444444444444442</v>
      </c>
      <c r="AO96" s="17" cm="1">
        <f t="array" ref="AO96">$H96 *
IF(ISNUMBER(SEARCH("Rapid",$L96)),7/6,1) *
IF(OR(ISNUMBER(SEARCH("Beam",$L96)),ISNUMBER(SEARCH("Firestorm",$L96))),1, IF(ISNUMBER(SEARCH("Blast",$L96)),(4+$G96+(2-$G96)*0.5)/6*2,(4+$G96)/6)) *
_xlfn.IFS(AO$24-$I96 &lt;=1, 5/6, AO$24-$I96 &lt;=5, (7-(AO$24-$I96))/6, AND(AO$24-$I96 =6,NOT(_xlfn.IFNA(ISNUMBER(SEARCH("Rending",$L96)),FALSE))), (7-(AO$24-$I96))/6, AND(AO$24-$I96 &gt;=7,NOT(_xlfn.IFNA(ISNUMBER(SEARCH("Rending",$L96)),FALSE))), 0, AO$24-$I96 =7, (7-(AO$24-1-$I96))/6, AO$24-$I96 =8, (7-(AO$24-2-$I96))/6*2/3, AO$24-$I96 =9, (7-(AO$24-3-$I96))/6*1/3, TRUE, 0) *
IF(ISNUMBER(SEARCH("Ordinance",$L96)),7/6,1) *
IF(OR(ISNUMBER(SEARCH("Melee",$L96)),ISNUMBER(SEARCH("Bypass",$L96))),1.5,1)</f>
        <v>0</v>
      </c>
      <c r="AP96" s="17" cm="1">
        <f t="array" ref="AP96">$H96 *
IF(ISNUMBER(SEARCH("Rapid",$L96)),7/6,1) *
IF(OR(ISNUMBER(SEARCH("Beam",$L96)),ISNUMBER(SEARCH("Firestorm",$L96))),1, IF(ISNUMBER(SEARCH("Blast",$L96)),(4+$G96+(2-$G96)*0.5)/6*2,(4+$G96)/6)) *
_xlfn.IFS(AP$24-$I96 &lt;=1, 5/6, AP$24-$I96 &lt;=5, (7-(AP$24-$I96))/6, AND(AP$24-$I96 =6,NOT(_xlfn.IFNA(ISNUMBER(SEARCH("Rending",$L96)),FALSE))), (7-(AP$24-$I96))/6, AND(AP$24-$I96 &gt;=7,NOT(_xlfn.IFNA(ISNUMBER(SEARCH("Rending",$L96)),FALSE))), 0, AP$24-$I96 =7, (7-(AP$24-1-$I96))/6, AP$24-$I96 =8, (7-(AP$24-2-$I96))/6*2/3, AP$24-$I96 =9, (7-(AP$24-3-$I96))/6*1/3, TRUE, 0) *
IF(ISNUMBER(SEARCH("Ordinance",$L96)),7/6,1) *
IF(OR(ISNUMBER(SEARCH("Melee",$L96)),ISNUMBER(SEARCH("Bypass",$L96))),1.5,1)</f>
        <v>0</v>
      </c>
      <c r="AQ96" s="17" cm="1">
        <f t="array" ref="AQ96">$H96 *
IF(ISNUMBER(SEARCH("Rapid",$L96)),7/6,1) *
IF(OR(ISNUMBER(SEARCH("Beam",$L96)),ISNUMBER(SEARCH("Firestorm",$L96))),1, IF(ISNUMBER(SEARCH("Blast",$L96)),(4+$G96+(2-$G96)*0.5)/6*2,(4+$G96)/6)) *
_xlfn.IFS(AQ$24-$I96 &lt;=1, 5/6, AQ$24-$I96 &lt;=5, (7-(AQ$24-$I96))/6, AND(AQ$24-$I96 =6,NOT(_xlfn.IFNA(ISNUMBER(SEARCH("Rending",$L96)),FALSE))), (7-(AQ$24-$I96))/6, AND(AQ$24-$I96 &gt;=7,NOT(_xlfn.IFNA(ISNUMBER(SEARCH("Rending",$L96)),FALSE))), 0, AQ$24-$I96 =7, (7-(AQ$24-1-$I96))/6, AQ$24-$I96 =8, (7-(AQ$24-2-$I96))/6*2/3, AQ$24-$I96 =9, (7-(AQ$24-3-$I96))/6*1/3, TRUE, 0) *
IF(ISNUMBER(SEARCH("Ordinance",$L96)),7/6,1) *
IF(OR(ISNUMBER(SEARCH("Melee",$L96)),ISNUMBER(SEARCH("Bypass",$L96))),1.5,1)</f>
        <v>0</v>
      </c>
      <c r="AS96" s="16">
        <f t="shared" si="26"/>
        <v>0.88888888888888884</v>
      </c>
      <c r="AT96" s="16">
        <f t="shared" si="27"/>
        <v>1.1851851851851851</v>
      </c>
      <c r="AU96" s="16">
        <f t="shared" si="28"/>
        <v>1.8518518518518519</v>
      </c>
      <c r="AV96" s="2">
        <v>10</v>
      </c>
    </row>
    <row r="97" spans="1:48" x14ac:dyDescent="0.3">
      <c r="A97" t="s">
        <v>246</v>
      </c>
      <c r="B97" s="3">
        <v>21</v>
      </c>
      <c r="C97" s="3">
        <v>38</v>
      </c>
      <c r="D97" s="3">
        <v>1</v>
      </c>
      <c r="E97" s="3">
        <v>2</v>
      </c>
      <c r="F97" s="10">
        <v>0</v>
      </c>
      <c r="G97" s="10">
        <v>0</v>
      </c>
      <c r="H97" s="3">
        <v>4</v>
      </c>
      <c r="I97" s="3">
        <v>8</v>
      </c>
      <c r="J97" s="3" t="s">
        <v>254</v>
      </c>
      <c r="K97" s="3">
        <v>55</v>
      </c>
      <c r="L97" s="3" t="s">
        <v>255</v>
      </c>
      <c r="M97" s="3" t="s">
        <v>236</v>
      </c>
      <c r="N97" s="3">
        <v>11</v>
      </c>
      <c r="O97" s="3">
        <v>11</v>
      </c>
      <c r="P97" s="3">
        <v>15</v>
      </c>
      <c r="Q97" s="3" t="s">
        <v>200</v>
      </c>
      <c r="R97" s="3">
        <v>7</v>
      </c>
      <c r="S97" s="3">
        <v>9</v>
      </c>
      <c r="T97" s="3">
        <v>4</v>
      </c>
      <c r="U97" t="s">
        <v>269</v>
      </c>
      <c r="V97" s="16">
        <f t="shared" si="20"/>
        <v>1.3333333333333333</v>
      </c>
      <c r="W97" s="16">
        <f t="shared" si="21"/>
        <v>1.7777777777777777</v>
      </c>
      <c r="X97" s="17" cm="1">
        <f t="array" ref="X97">$H97 *
IF(ISNUMBER(SEARCH("Rapid",$L97)),7/6,1) *
IF(OR(ISNUMBER(SEARCH("Beam",$L97)),ISNUMBER(SEARCH("Firestorm",$L97))),1, IF(ISNUMBER(SEARCH("Blast",$L97)),(4+$F97+(2-$F97)*0.5)/6*2,(4+$F97)/6)) *
IF(ISNUMBER(SEARCH("Fusion",$L97)), _xlfn.IFS(X$24-$I97 &lt;=1, 9/10, X$24-$I97 &lt;=10,(11-(X$24-$I97))/10, X$24-$I97 &gt;=11, 0),
_xlfn.IFS(X$24-$I97 &lt;=1, 5/6, X$24-$I97 &lt;=5, (7-(X$24-$I97))/6, AND(X$24-$I97 =6,NOT(_xlfn.IFNA(ISNUMBER(SEARCH("Rending",$L97)),FALSE))), (7-(X$24-$I97))/6, AND(X$24-$I97 &gt;=7,NOT(_xlfn.IFNA(ISNUMBER(SEARCH("Rending",$L97)),FALSE))), 0, X$24-$I97 =7, (7-(X$24-1-$I97))/6, X$24-$I97 =8, (7-(X$24-2-$I97))/6*2/3, X$24-$I97 =9, (7-(X$24-3-$I97))/6*1/3, TRUE, 0)) *
IF(ISNUMBER(SEARCH("Ordinance",$L97)),7/6,1) *
IF(OR(ISNUMBER(SEARCH("Melee",$L97)),ISNUMBER(SEARCH("Bypass",$L97))),1.5,1)</f>
        <v>2.2222222222222223</v>
      </c>
      <c r="Y97" s="17" cm="1">
        <f t="array" ref="Y97">$H97 *
IF(ISNUMBER(SEARCH("Rapid",$L97)),7/6,1) *
IF(OR(ISNUMBER(SEARCH("Beam",$L97)),ISNUMBER(SEARCH("Firestorm",$L97))),1, IF(ISNUMBER(SEARCH("Blast",$L97)),(4+$F97+(2-$F97)*0.5)/6*2,(4+$F97)/6)) *
IF(ISNUMBER(SEARCH("Fusion",$L97)), _xlfn.IFS(Y$24-$I97 &lt;=1, 9/10, Y$24-$I97 &lt;=10,(11-(Y$24-$I97))/10, Y$24-$I97 &gt;=11, 0),
_xlfn.IFS(Y$24-$I97 &lt;=1, 5/6, Y$24-$I97 &lt;=5, (7-(Y$24-$I97))/6, AND(Y$24-$I97 =6,NOT(_xlfn.IFNA(ISNUMBER(SEARCH("Rending",$L97)),FALSE))), (7-(Y$24-$I97))/6, AND(Y$24-$I97 &gt;=7,NOT(_xlfn.IFNA(ISNUMBER(SEARCH("Rending",$L97)),FALSE))), 0, Y$24-$I97 =7, (7-(Y$24-1-$I97))/6, Y$24-$I97 =8, (7-(Y$24-2-$I97))/6*2/3, Y$24-$I97 =9, (7-(Y$24-3-$I97))/6*1/3, TRUE, 0)) *
IF(ISNUMBER(SEARCH("Ordinance",$L97)),7/6,1) *
IF(OR(ISNUMBER(SEARCH("Melee",$L97)),ISNUMBER(SEARCH("Bypass",$L97))),1.5,1)</f>
        <v>2.2222222222222223</v>
      </c>
      <c r="Z97" s="17" cm="1">
        <f t="array" ref="Z97">$H97 *
IF(ISNUMBER(SEARCH("Rapid",$L97)),7/6,1) *
IF(OR(ISNUMBER(SEARCH("Beam",$L97)),ISNUMBER(SEARCH("Firestorm",$L97))),1, IF(ISNUMBER(SEARCH("Blast",$L97)),(4+$F97+(2-$F97)*0.5)/6*2,(4+$F97)/6)) *
IF(ISNUMBER(SEARCH("Fusion",$L97)), _xlfn.IFS(Z$24-$I97 &lt;=1, 9/10, Z$24-$I97 &lt;=10,(11-(Z$24-$I97))/10, Z$24-$I97 &gt;=11, 0),
_xlfn.IFS(Z$24-$I97 &lt;=1, 5/6, Z$24-$I97 &lt;=5, (7-(Z$24-$I97))/6, AND(Z$24-$I97 =6,NOT(_xlfn.IFNA(ISNUMBER(SEARCH("Rending",$L97)),FALSE))), (7-(Z$24-$I97))/6, AND(Z$24-$I97 &gt;=7,NOT(_xlfn.IFNA(ISNUMBER(SEARCH("Rending",$L97)),FALSE))), 0, Z$24-$I97 =7, (7-(Z$24-1-$I97))/6, Z$24-$I97 =8, (7-(Z$24-2-$I97))/6*2/3, Z$24-$I97 =9, (7-(Z$24-3-$I97))/6*1/3, TRUE, 0)) *
IF(ISNUMBER(SEARCH("Ordinance",$L97)),7/6,1) *
IF(OR(ISNUMBER(SEARCH("Melee",$L97)),ISNUMBER(SEARCH("Bypass",$L97))),1.5,1)</f>
        <v>1.7777777777777777</v>
      </c>
      <c r="AA97" s="17" cm="1">
        <f t="array" ref="AA97">$H97 *
IF(ISNUMBER(SEARCH("Rapid",$L97)),7/6,1) *
IF(OR(ISNUMBER(SEARCH("Beam",$L97)),ISNUMBER(SEARCH("Firestorm",$L97))),1, IF(ISNUMBER(SEARCH("Blast",$L97)),(4+$F97+(2-$F97)*0.5)/6*2,(4+$F97)/6)) *
IF(ISNUMBER(SEARCH("Fusion",$L97)), _xlfn.IFS(AA$24-$I97 &lt;=1, 9/10, AA$24-$I97 &lt;=10,(11-(AA$24-$I97))/10, AA$24-$I97 &gt;=11, 0),
_xlfn.IFS(AA$24-$I97 &lt;=1, 5/6, AA$24-$I97 &lt;=5, (7-(AA$24-$I97))/6, AND(AA$24-$I97 =6,NOT(_xlfn.IFNA(ISNUMBER(SEARCH("Rending",$L97)),FALSE))), (7-(AA$24-$I97))/6, AND(AA$24-$I97 &gt;=7,NOT(_xlfn.IFNA(ISNUMBER(SEARCH("Rending",$L97)),FALSE))), 0, AA$24-$I97 =7, (7-(AA$24-1-$I97))/6, AA$24-$I97 =8, (7-(AA$24-2-$I97))/6*2/3, AA$24-$I97 =9, (7-(AA$24-3-$I97))/6*1/3, TRUE, 0)) *
IF(ISNUMBER(SEARCH("Ordinance",$L97)),7/6,1) *
IF(OR(ISNUMBER(SEARCH("Melee",$L97)),ISNUMBER(SEARCH("Bypass",$L97))),1.5,1)</f>
        <v>1.3333333333333333</v>
      </c>
      <c r="AB97" s="17" cm="1">
        <f t="array" ref="AB97">$H97 *
IF(ISNUMBER(SEARCH("Rapid",$L97)),7/6,1) *
IF(OR(ISNUMBER(SEARCH("Beam",$L97)),ISNUMBER(SEARCH("Firestorm",$L97))),1, IF(ISNUMBER(SEARCH("Blast",$L97)),(4+$F97+(2-$F97)*0.5)/6*2,(4+$F97)/6)) *
IF(ISNUMBER(SEARCH("Fusion",$L97)), _xlfn.IFS(AB$24-$I97 &lt;=1, 9/10, AB$24-$I97 &lt;=10,(11-(AB$24-$I97))/10, AB$24-$I97 &gt;=11, 0),
_xlfn.IFS(AB$24-$I97 &lt;=1, 5/6, AB$24-$I97 &lt;=5, (7-(AB$24-$I97))/6, AND(AB$24-$I97 =6,NOT(_xlfn.IFNA(ISNUMBER(SEARCH("Rending",$L97)),FALSE))), (7-(AB$24-$I97))/6, AND(AB$24-$I97 &gt;=7,NOT(_xlfn.IFNA(ISNUMBER(SEARCH("Rending",$L97)),FALSE))), 0, AB$24-$I97 =7, (7-(AB$24-1-$I97))/6, AB$24-$I97 =8, (7-(AB$24-2-$I97))/6*2/3, AB$24-$I97 =9, (7-(AB$24-3-$I97))/6*1/3, TRUE, 0)) *
IF(ISNUMBER(SEARCH("Ordinance",$L97)),7/6,1) *
IF(OR(ISNUMBER(SEARCH("Melee",$L97)),ISNUMBER(SEARCH("Bypass",$L97))),1.5,1)</f>
        <v>0.88888888888888884</v>
      </c>
      <c r="AC97" s="17" cm="1">
        <f t="array" ref="AC97">$H97 *
IF(ISNUMBER(SEARCH("Rapid",$L97)),7/6,1) *
IF(OR(ISNUMBER(SEARCH("Beam",$L97)),ISNUMBER(SEARCH("Firestorm",$L97))),1, IF(ISNUMBER(SEARCH("Blast",$L97)),(4+$F97+(2-$F97)*0.5)/6*2,(4+$F97)/6)) *
IF(ISNUMBER(SEARCH("Fusion",$L97)), _xlfn.IFS(AC$24-$I97 &lt;=1, 9/10, AC$24-$I97 &lt;=10,(11-(AC$24-$I97))/10, AC$24-$I97 &gt;=11, 0),
_xlfn.IFS(AC$24-$I97 &lt;=1, 5/6, AC$24-$I97 &lt;=5, (7-(AC$24-$I97))/6, AND(AC$24-$I97 =6,NOT(_xlfn.IFNA(ISNUMBER(SEARCH("Rending",$L97)),FALSE))), (7-(AC$24-$I97))/6, AND(AC$24-$I97 &gt;=7,NOT(_xlfn.IFNA(ISNUMBER(SEARCH("Rending",$L97)),FALSE))), 0, AC$24-$I97 =7, (7-(AC$24-1-$I97))/6, AC$24-$I97 =8, (7-(AC$24-2-$I97))/6*2/3, AC$24-$I97 =9, (7-(AC$24-3-$I97))/6*1/3, TRUE, 0)) *
IF(ISNUMBER(SEARCH("Ordinance",$L97)),7/6,1) *
IF(OR(ISNUMBER(SEARCH("Melee",$L97)),ISNUMBER(SEARCH("Bypass",$L97))),1.5,1)</f>
        <v>0.44444444444444442</v>
      </c>
      <c r="AD97" s="17" cm="1">
        <f t="array" ref="AD97">$H97 *
IF(ISNUMBER(SEARCH("Rapid",$L97)),7/6,1) *
IF(OR(ISNUMBER(SEARCH("Beam",$L97)),ISNUMBER(SEARCH("Firestorm",$L97))),1, IF(ISNUMBER(SEARCH("Blast",$L97)),(4+$F97+(2-$F97)*0.5)/6*2,(4+$F97)/6)) *
IF(ISNUMBER(SEARCH("Fusion",$L97)), _xlfn.IFS(AD$24-$I97 &lt;=1, 9/10, AD$24-$I97 &lt;=10,(11-(AD$24-$I97))/10, AD$24-$I97 &gt;=11, 0),
_xlfn.IFS(AD$24-$I97 &lt;=1, 5/6, AD$24-$I97 &lt;=5, (7-(AD$24-$I97))/6, AND(AD$24-$I97 =6,NOT(_xlfn.IFNA(ISNUMBER(SEARCH("Rending",$L97)),FALSE))), (7-(AD$24-$I97))/6, AND(AD$24-$I97 &gt;=7,NOT(_xlfn.IFNA(ISNUMBER(SEARCH("Rending",$L97)),FALSE))), 0, AD$24-$I97 =7, (7-(AD$24-1-$I97))/6, AD$24-$I97 =8, (7-(AD$24-2-$I97))/6*2/3, AD$24-$I97 =9, (7-(AD$24-3-$I97))/6*1/3, TRUE, 0)) *
IF(ISNUMBER(SEARCH("Ordinance",$L97)),7/6,1) *
IF(OR(ISNUMBER(SEARCH("Melee",$L97)),ISNUMBER(SEARCH("Bypass",$L97))),1.5,1)</f>
        <v>0</v>
      </c>
      <c r="AE97" s="17" cm="1">
        <f t="array" ref="AE97">$H97 *
IF(ISNUMBER(SEARCH("Rapid",$L97)),7/6,1) *
IF(OR(ISNUMBER(SEARCH("Beam",$L97)),ISNUMBER(SEARCH("Firestorm",$L97))),1, IF(ISNUMBER(SEARCH("Blast",$L97)),(4+$F97+(2-$F97)*0.5)/6*2,(4+$F97)/6)) *
IF(ISNUMBER(SEARCH("Fusion",$L97)), _xlfn.IFS(AE$24-$I97 &lt;=1, 9/10, AE$24-$I97 &lt;=10,(11-(AE$24-$I97))/10, AE$24-$I97 &gt;=11, 0),
_xlfn.IFS(AE$24-$I97 &lt;=1, 5/6, AE$24-$I97 &lt;=5, (7-(AE$24-$I97))/6, AND(AE$24-$I97 =6,NOT(_xlfn.IFNA(ISNUMBER(SEARCH("Rending",$L97)),FALSE))), (7-(AE$24-$I97))/6, AND(AE$24-$I97 &gt;=7,NOT(_xlfn.IFNA(ISNUMBER(SEARCH("Rending",$L97)),FALSE))), 0, AE$24-$I97 =7, (7-(AE$24-1-$I97))/6, AE$24-$I97 =8, (7-(AE$24-2-$I97))/6*2/3, AE$24-$I97 =9, (7-(AE$24-3-$I97))/6*1/3, TRUE, 0)) *
IF(ISNUMBER(SEARCH("Ordinance",$L97)),7/6,1) *
IF(OR(ISNUMBER(SEARCH("Melee",$L97)),ISNUMBER(SEARCH("Bypass",$L97))),1.5,1)</f>
        <v>0</v>
      </c>
      <c r="AF97" s="17" cm="1">
        <f t="array" ref="AF97">$H97 *
IF(ISNUMBER(SEARCH("Rapid",$L97)),7/6,1) *
IF(OR(ISNUMBER(SEARCH("Beam",$L97)),ISNUMBER(SEARCH("Firestorm",$L97))),1, IF(ISNUMBER(SEARCH("Blast",$L97)),(4+$F97+(2-$F97)*0.5)/6*2,(4+$F97)/6)) *
IF(ISNUMBER(SEARCH("Fusion",$L97)), _xlfn.IFS(AF$24-$I97 &lt;=1, 9/10, AF$24-$I97 &lt;=10,(11-(AF$24-$I97))/10, AF$24-$I97 &gt;=11, 0),
_xlfn.IFS(AF$24-$I97 &lt;=1, 5/6, AF$24-$I97 &lt;=5, (7-(AF$24-$I97))/6, AND(AF$24-$I97 =6,NOT(_xlfn.IFNA(ISNUMBER(SEARCH("Rending",$L97)),FALSE))), (7-(AF$24-$I97))/6, AND(AF$24-$I97 &gt;=7,NOT(_xlfn.IFNA(ISNUMBER(SEARCH("Rending",$L97)),FALSE))), 0, AF$24-$I97 =7, (7-(AF$24-1-$I97))/6, AF$24-$I97 =8, (7-(AF$24-2-$I97))/6*2/3, AF$24-$I97 =9, (7-(AF$24-3-$I97))/6*1/3, TRUE, 0)) *
IF(ISNUMBER(SEARCH("Ordinance",$L97)),7/6,1) *
IF(OR(ISNUMBER(SEARCH("Melee",$L97)),ISNUMBER(SEARCH("Bypass",$L97))),1.5,1)</f>
        <v>0</v>
      </c>
      <c r="AG97" s="16">
        <f t="shared" si="22"/>
        <v>1.3333333333333333</v>
      </c>
      <c r="AH97" s="16">
        <f t="shared" si="23"/>
        <v>1.7777777777777777</v>
      </c>
      <c r="AI97" s="17" cm="1">
        <f t="array" ref="AI97">$H97 *
IF(ISNUMBER(SEARCH("Rapid",$L97)),7/6,1) *
IF(OR(ISNUMBER(SEARCH("Beam",$L97)),ISNUMBER(SEARCH("Firestorm",$L97))),1, IF(ISNUMBER(SEARCH("Blast",$L97)),(4+$G97+(2-$G97)*0.5)/6*2,(4+$G97)/6)) *
_xlfn.IFS(AI$24-$I97 &lt;=1, 5/6, AI$24-$I97 &lt;=5, (7-(AI$24-$I97))/6, AND(AI$24-$I97 =6,NOT(_xlfn.IFNA(ISNUMBER(SEARCH("Rending",$L97)),FALSE))), (7-(AI$24-$I97))/6, AND(AI$24-$I97 &gt;=7,NOT(_xlfn.IFNA(ISNUMBER(SEARCH("Rending",$L97)),FALSE))), 0, AI$24-$I97 =7, (7-(AI$24-1-$I97))/6, AI$24-$I97 =8, (7-(AI$24-2-$I97))/6*2/3, AI$24-$I97 =9, (7-(AI$24-3-$I97))/6*1/3, TRUE, 0) *
IF(ISNUMBER(SEARCH("Ordinance",$L97)),7/6,1) *
IF(OR(ISNUMBER(SEARCH("Melee",$L97)),ISNUMBER(SEARCH("Bypass",$L97))),1.5,1)</f>
        <v>2.2222222222222223</v>
      </c>
      <c r="AJ97" s="17" cm="1">
        <f t="array" ref="AJ97">$H97 *
IF(ISNUMBER(SEARCH("Rapid",$L97)),7/6,1) *
IF(OR(ISNUMBER(SEARCH("Beam",$L97)),ISNUMBER(SEARCH("Firestorm",$L97))),1, IF(ISNUMBER(SEARCH("Blast",$L97)),(4+$G97+(2-$G97)*0.5)/6*2,(4+$G97)/6)) *
_xlfn.IFS(AJ$24-$I97 &lt;=1, 5/6, AJ$24-$I97 &lt;=5, (7-(AJ$24-$I97))/6, AND(AJ$24-$I97 =6,NOT(_xlfn.IFNA(ISNUMBER(SEARCH("Rending",$L97)),FALSE))), (7-(AJ$24-$I97))/6, AND(AJ$24-$I97 &gt;=7,NOT(_xlfn.IFNA(ISNUMBER(SEARCH("Rending",$L97)),FALSE))), 0, AJ$24-$I97 =7, (7-(AJ$24-1-$I97))/6, AJ$24-$I97 =8, (7-(AJ$24-2-$I97))/6*2/3, AJ$24-$I97 =9, (7-(AJ$24-3-$I97))/6*1/3, TRUE, 0) *
IF(ISNUMBER(SEARCH("Ordinance",$L97)),7/6,1) *
IF(OR(ISNUMBER(SEARCH("Melee",$L97)),ISNUMBER(SEARCH("Bypass",$L97))),1.5,1)</f>
        <v>2.2222222222222223</v>
      </c>
      <c r="AK97" s="17" cm="1">
        <f t="array" ref="AK97">$H97 *
IF(ISNUMBER(SEARCH("Rapid",$L97)),7/6,1) *
IF(OR(ISNUMBER(SEARCH("Beam",$L97)),ISNUMBER(SEARCH("Firestorm",$L97))),1, IF(ISNUMBER(SEARCH("Blast",$L97)),(4+$G97+(2-$G97)*0.5)/6*2,(4+$G97)/6)) *
_xlfn.IFS(AK$24-$I97 &lt;=1, 5/6, AK$24-$I97 &lt;=5, (7-(AK$24-$I97))/6, AND(AK$24-$I97 =6,NOT(_xlfn.IFNA(ISNUMBER(SEARCH("Rending",$L97)),FALSE))), (7-(AK$24-$I97))/6, AND(AK$24-$I97 &gt;=7,NOT(_xlfn.IFNA(ISNUMBER(SEARCH("Rending",$L97)),FALSE))), 0, AK$24-$I97 =7, (7-(AK$24-1-$I97))/6, AK$24-$I97 =8, (7-(AK$24-2-$I97))/6*2/3, AK$24-$I97 =9, (7-(AK$24-3-$I97))/6*1/3, TRUE, 0) *
IF(ISNUMBER(SEARCH("Ordinance",$L97)),7/6,1) *
IF(OR(ISNUMBER(SEARCH("Melee",$L97)),ISNUMBER(SEARCH("Bypass",$L97))),1.5,1)</f>
        <v>1.7777777777777777</v>
      </c>
      <c r="AL97" s="17" cm="1">
        <f t="array" ref="AL97">$H97 *
IF(ISNUMBER(SEARCH("Rapid",$L97)),7/6,1) *
IF(OR(ISNUMBER(SEARCH("Beam",$L97)),ISNUMBER(SEARCH("Firestorm",$L97))),1, IF(ISNUMBER(SEARCH("Blast",$L97)),(4+$G97+(2-$G97)*0.5)/6*2,(4+$G97)/6)) *
_xlfn.IFS(AL$24-$I97 &lt;=1, 5/6, AL$24-$I97 &lt;=5, (7-(AL$24-$I97))/6, AND(AL$24-$I97 =6,NOT(_xlfn.IFNA(ISNUMBER(SEARCH("Rending",$L97)),FALSE))), (7-(AL$24-$I97))/6, AND(AL$24-$I97 &gt;=7,NOT(_xlfn.IFNA(ISNUMBER(SEARCH("Rending",$L97)),FALSE))), 0, AL$24-$I97 =7, (7-(AL$24-1-$I97))/6, AL$24-$I97 =8, (7-(AL$24-2-$I97))/6*2/3, AL$24-$I97 =9, (7-(AL$24-3-$I97))/6*1/3, TRUE, 0) *
IF(ISNUMBER(SEARCH("Ordinance",$L97)),7/6,1) *
IF(OR(ISNUMBER(SEARCH("Melee",$L97)),ISNUMBER(SEARCH("Bypass",$L97))),1.5,1)</f>
        <v>1.3333333333333333</v>
      </c>
      <c r="AM97" s="17" cm="1">
        <f t="array" ref="AM97">$H97 *
IF(ISNUMBER(SEARCH("Rapid",$L97)),7/6,1) *
IF(OR(ISNUMBER(SEARCH("Beam",$L97)),ISNUMBER(SEARCH("Firestorm",$L97))),1, IF(ISNUMBER(SEARCH("Blast",$L97)),(4+$G97+(2-$G97)*0.5)/6*2,(4+$G97)/6)) *
_xlfn.IFS(AM$24-$I97 &lt;=1, 5/6, AM$24-$I97 &lt;=5, (7-(AM$24-$I97))/6, AND(AM$24-$I97 =6,NOT(_xlfn.IFNA(ISNUMBER(SEARCH("Rending",$L97)),FALSE))), (7-(AM$24-$I97))/6, AND(AM$24-$I97 &gt;=7,NOT(_xlfn.IFNA(ISNUMBER(SEARCH("Rending",$L97)),FALSE))), 0, AM$24-$I97 =7, (7-(AM$24-1-$I97))/6, AM$24-$I97 =8, (7-(AM$24-2-$I97))/6*2/3, AM$24-$I97 =9, (7-(AM$24-3-$I97))/6*1/3, TRUE, 0) *
IF(ISNUMBER(SEARCH("Ordinance",$L97)),7/6,1) *
IF(OR(ISNUMBER(SEARCH("Melee",$L97)),ISNUMBER(SEARCH("Bypass",$L97))),1.5,1)</f>
        <v>0.88888888888888884</v>
      </c>
      <c r="AN97" s="17" cm="1">
        <f t="array" ref="AN97">$H97 *
IF(ISNUMBER(SEARCH("Rapid",$L97)),7/6,1) *
IF(OR(ISNUMBER(SEARCH("Beam",$L97)),ISNUMBER(SEARCH("Firestorm",$L97))),1, IF(ISNUMBER(SEARCH("Blast",$L97)),(4+$G97+(2-$G97)*0.5)/6*2,(4+$G97)/6)) *
_xlfn.IFS(AN$24-$I97 &lt;=1, 5/6, AN$24-$I97 &lt;=5, (7-(AN$24-$I97))/6, AND(AN$24-$I97 =6,NOT(_xlfn.IFNA(ISNUMBER(SEARCH("Rending",$L97)),FALSE))), (7-(AN$24-$I97))/6, AND(AN$24-$I97 &gt;=7,NOT(_xlfn.IFNA(ISNUMBER(SEARCH("Rending",$L97)),FALSE))), 0, AN$24-$I97 =7, (7-(AN$24-1-$I97))/6, AN$24-$I97 =8, (7-(AN$24-2-$I97))/6*2/3, AN$24-$I97 =9, (7-(AN$24-3-$I97))/6*1/3, TRUE, 0) *
IF(ISNUMBER(SEARCH("Ordinance",$L97)),7/6,1) *
IF(OR(ISNUMBER(SEARCH("Melee",$L97)),ISNUMBER(SEARCH("Bypass",$L97))),1.5,1)</f>
        <v>0.44444444444444442</v>
      </c>
      <c r="AO97" s="17" cm="1">
        <f t="array" ref="AO97">$H97 *
IF(ISNUMBER(SEARCH("Rapid",$L97)),7/6,1) *
IF(OR(ISNUMBER(SEARCH("Beam",$L97)),ISNUMBER(SEARCH("Firestorm",$L97))),1, IF(ISNUMBER(SEARCH("Blast",$L97)),(4+$G97+(2-$G97)*0.5)/6*2,(4+$G97)/6)) *
_xlfn.IFS(AO$24-$I97 &lt;=1, 5/6, AO$24-$I97 &lt;=5, (7-(AO$24-$I97))/6, AND(AO$24-$I97 =6,NOT(_xlfn.IFNA(ISNUMBER(SEARCH("Rending",$L97)),FALSE))), (7-(AO$24-$I97))/6, AND(AO$24-$I97 &gt;=7,NOT(_xlfn.IFNA(ISNUMBER(SEARCH("Rending",$L97)),FALSE))), 0, AO$24-$I97 =7, (7-(AO$24-1-$I97))/6, AO$24-$I97 =8, (7-(AO$24-2-$I97))/6*2/3, AO$24-$I97 =9, (7-(AO$24-3-$I97))/6*1/3, TRUE, 0) *
IF(ISNUMBER(SEARCH("Ordinance",$L97)),7/6,1) *
IF(OR(ISNUMBER(SEARCH("Melee",$L97)),ISNUMBER(SEARCH("Bypass",$L97))),1.5,1)</f>
        <v>0</v>
      </c>
      <c r="AP97" s="17" cm="1">
        <f t="array" ref="AP97">$H97 *
IF(ISNUMBER(SEARCH("Rapid",$L97)),7/6,1) *
IF(OR(ISNUMBER(SEARCH("Beam",$L97)),ISNUMBER(SEARCH("Firestorm",$L97))),1, IF(ISNUMBER(SEARCH("Blast",$L97)),(4+$G97+(2-$G97)*0.5)/6*2,(4+$G97)/6)) *
_xlfn.IFS(AP$24-$I97 &lt;=1, 5/6, AP$24-$I97 &lt;=5, (7-(AP$24-$I97))/6, AND(AP$24-$I97 =6,NOT(_xlfn.IFNA(ISNUMBER(SEARCH("Rending",$L97)),FALSE))), (7-(AP$24-$I97))/6, AND(AP$24-$I97 &gt;=7,NOT(_xlfn.IFNA(ISNUMBER(SEARCH("Rending",$L97)),FALSE))), 0, AP$24-$I97 =7, (7-(AP$24-1-$I97))/6, AP$24-$I97 =8, (7-(AP$24-2-$I97))/6*2/3, AP$24-$I97 =9, (7-(AP$24-3-$I97))/6*1/3, TRUE, 0) *
IF(ISNUMBER(SEARCH("Ordinance",$L97)),7/6,1) *
IF(OR(ISNUMBER(SEARCH("Melee",$L97)),ISNUMBER(SEARCH("Bypass",$L97))),1.5,1)</f>
        <v>0</v>
      </c>
      <c r="AQ97" s="17" cm="1">
        <f t="array" ref="AQ97">$H97 *
IF(ISNUMBER(SEARCH("Rapid",$L97)),7/6,1) *
IF(OR(ISNUMBER(SEARCH("Beam",$L97)),ISNUMBER(SEARCH("Firestorm",$L97))),1, IF(ISNUMBER(SEARCH("Blast",$L97)),(4+$G97+(2-$G97)*0.5)/6*2,(4+$G97)/6)) *
_xlfn.IFS(AQ$24-$I97 &lt;=1, 5/6, AQ$24-$I97 &lt;=5, (7-(AQ$24-$I97))/6, AND(AQ$24-$I97 =6,NOT(_xlfn.IFNA(ISNUMBER(SEARCH("Rending",$L97)),FALSE))), (7-(AQ$24-$I97))/6, AND(AQ$24-$I97 &gt;=7,NOT(_xlfn.IFNA(ISNUMBER(SEARCH("Rending",$L97)),FALSE))), 0, AQ$24-$I97 =7, (7-(AQ$24-1-$I97))/6, AQ$24-$I97 =8, (7-(AQ$24-2-$I97))/6*2/3, AQ$24-$I97 =9, (7-(AQ$24-3-$I97))/6*1/3, TRUE, 0) *
IF(ISNUMBER(SEARCH("Ordinance",$L97)),7/6,1) *
IF(OR(ISNUMBER(SEARCH("Melee",$L97)),ISNUMBER(SEARCH("Bypass",$L97))),1.5,1)</f>
        <v>0</v>
      </c>
      <c r="AS97" s="16">
        <f t="shared" si="26"/>
        <v>0.88888888888888884</v>
      </c>
      <c r="AT97" s="16">
        <f t="shared" si="27"/>
        <v>1.1851851851851851</v>
      </c>
      <c r="AU97" s="16">
        <f t="shared" si="28"/>
        <v>1.8518518518518519</v>
      </c>
      <c r="AV97" s="2">
        <v>10</v>
      </c>
    </row>
    <row r="98" spans="1:48" x14ac:dyDescent="0.3">
      <c r="A98" t="s">
        <v>278</v>
      </c>
      <c r="B98" s="3">
        <v>21</v>
      </c>
      <c r="C98" s="3">
        <v>38</v>
      </c>
      <c r="D98" s="3">
        <v>1</v>
      </c>
      <c r="E98" s="3">
        <v>2</v>
      </c>
      <c r="F98" s="10">
        <v>0</v>
      </c>
      <c r="G98" s="10">
        <v>0</v>
      </c>
      <c r="H98" s="3">
        <v>4</v>
      </c>
      <c r="I98" s="3">
        <v>8</v>
      </c>
      <c r="J98" s="3" t="s">
        <v>254</v>
      </c>
      <c r="K98" s="3">
        <v>80</v>
      </c>
      <c r="L98" s="3" t="s">
        <v>255</v>
      </c>
      <c r="M98" s="3" t="s">
        <v>199</v>
      </c>
      <c r="N98" s="3">
        <v>11</v>
      </c>
      <c r="O98" s="3">
        <v>11</v>
      </c>
      <c r="P98" s="3">
        <v>15</v>
      </c>
      <c r="Q98" s="3" t="s">
        <v>200</v>
      </c>
      <c r="R98" s="3">
        <v>7</v>
      </c>
      <c r="S98" s="3">
        <v>9</v>
      </c>
      <c r="T98" s="3">
        <v>4</v>
      </c>
      <c r="U98" t="s">
        <v>269</v>
      </c>
      <c r="V98" s="16">
        <f t="shared" si="20"/>
        <v>1.3333333333333333</v>
      </c>
      <c r="W98" s="16">
        <f t="shared" si="21"/>
        <v>1.7777777777777777</v>
      </c>
      <c r="X98" s="17" cm="1">
        <f t="array" ref="X98">$H98 *
IF(ISNUMBER(SEARCH("Rapid",$L98)),7/6,1) *
IF(OR(ISNUMBER(SEARCH("Beam",$L98)),ISNUMBER(SEARCH("Firestorm",$L98))),1, IF(ISNUMBER(SEARCH("Blast",$L98)),(4+$F98+(2-$F98)*0.5)/6*2,(4+$F98)/6)) *
IF(ISNUMBER(SEARCH("Fusion",$L98)), _xlfn.IFS(X$24-$I98 &lt;=1, 9/10, X$24-$I98 &lt;=10,(11-(X$24-$I98))/10, X$24-$I98 &gt;=11, 0),
_xlfn.IFS(X$24-$I98 &lt;=1, 5/6, X$24-$I98 &lt;=5, (7-(X$24-$I98))/6, AND(X$24-$I98 =6,NOT(_xlfn.IFNA(ISNUMBER(SEARCH("Rending",$L98)),FALSE))), (7-(X$24-$I98))/6, AND(X$24-$I98 &gt;=7,NOT(_xlfn.IFNA(ISNUMBER(SEARCH("Rending",$L98)),FALSE))), 0, X$24-$I98 =7, (7-(X$24-1-$I98))/6, X$24-$I98 =8, (7-(X$24-2-$I98))/6*2/3, X$24-$I98 =9, (7-(X$24-3-$I98))/6*1/3, TRUE, 0)) *
IF(ISNUMBER(SEARCH("Ordinance",$L98)),7/6,1) *
IF(OR(ISNUMBER(SEARCH("Melee",$L98)),ISNUMBER(SEARCH("Bypass",$L98))),1.5,1)</f>
        <v>2.2222222222222223</v>
      </c>
      <c r="Y98" s="17" cm="1">
        <f t="array" ref="Y98">$H98 *
IF(ISNUMBER(SEARCH("Rapid",$L98)),7/6,1) *
IF(OR(ISNUMBER(SEARCH("Beam",$L98)),ISNUMBER(SEARCH("Firestorm",$L98))),1, IF(ISNUMBER(SEARCH("Blast",$L98)),(4+$F98+(2-$F98)*0.5)/6*2,(4+$F98)/6)) *
IF(ISNUMBER(SEARCH("Fusion",$L98)), _xlfn.IFS(Y$24-$I98 &lt;=1, 9/10, Y$24-$I98 &lt;=10,(11-(Y$24-$I98))/10, Y$24-$I98 &gt;=11, 0),
_xlfn.IFS(Y$24-$I98 &lt;=1, 5/6, Y$24-$I98 &lt;=5, (7-(Y$24-$I98))/6, AND(Y$24-$I98 =6,NOT(_xlfn.IFNA(ISNUMBER(SEARCH("Rending",$L98)),FALSE))), (7-(Y$24-$I98))/6, AND(Y$24-$I98 &gt;=7,NOT(_xlfn.IFNA(ISNUMBER(SEARCH("Rending",$L98)),FALSE))), 0, Y$24-$I98 =7, (7-(Y$24-1-$I98))/6, Y$24-$I98 =8, (7-(Y$24-2-$I98))/6*2/3, Y$24-$I98 =9, (7-(Y$24-3-$I98))/6*1/3, TRUE, 0)) *
IF(ISNUMBER(SEARCH("Ordinance",$L98)),7/6,1) *
IF(OR(ISNUMBER(SEARCH("Melee",$L98)),ISNUMBER(SEARCH("Bypass",$L98))),1.5,1)</f>
        <v>2.2222222222222223</v>
      </c>
      <c r="Z98" s="17" cm="1">
        <f t="array" ref="Z98">$H98 *
IF(ISNUMBER(SEARCH("Rapid",$L98)),7/6,1) *
IF(OR(ISNUMBER(SEARCH("Beam",$L98)),ISNUMBER(SEARCH("Firestorm",$L98))),1, IF(ISNUMBER(SEARCH("Blast",$L98)),(4+$F98+(2-$F98)*0.5)/6*2,(4+$F98)/6)) *
IF(ISNUMBER(SEARCH("Fusion",$L98)), _xlfn.IFS(Z$24-$I98 &lt;=1, 9/10, Z$24-$I98 &lt;=10,(11-(Z$24-$I98))/10, Z$24-$I98 &gt;=11, 0),
_xlfn.IFS(Z$24-$I98 &lt;=1, 5/6, Z$24-$I98 &lt;=5, (7-(Z$24-$I98))/6, AND(Z$24-$I98 =6,NOT(_xlfn.IFNA(ISNUMBER(SEARCH("Rending",$L98)),FALSE))), (7-(Z$24-$I98))/6, AND(Z$24-$I98 &gt;=7,NOT(_xlfn.IFNA(ISNUMBER(SEARCH("Rending",$L98)),FALSE))), 0, Z$24-$I98 =7, (7-(Z$24-1-$I98))/6, Z$24-$I98 =8, (7-(Z$24-2-$I98))/6*2/3, Z$24-$I98 =9, (7-(Z$24-3-$I98))/6*1/3, TRUE, 0)) *
IF(ISNUMBER(SEARCH("Ordinance",$L98)),7/6,1) *
IF(OR(ISNUMBER(SEARCH("Melee",$L98)),ISNUMBER(SEARCH("Bypass",$L98))),1.5,1)</f>
        <v>1.7777777777777777</v>
      </c>
      <c r="AA98" s="17" cm="1">
        <f t="array" ref="AA98">$H98 *
IF(ISNUMBER(SEARCH("Rapid",$L98)),7/6,1) *
IF(OR(ISNUMBER(SEARCH("Beam",$L98)),ISNUMBER(SEARCH("Firestorm",$L98))),1, IF(ISNUMBER(SEARCH("Blast",$L98)),(4+$F98+(2-$F98)*0.5)/6*2,(4+$F98)/6)) *
IF(ISNUMBER(SEARCH("Fusion",$L98)), _xlfn.IFS(AA$24-$I98 &lt;=1, 9/10, AA$24-$I98 &lt;=10,(11-(AA$24-$I98))/10, AA$24-$I98 &gt;=11, 0),
_xlfn.IFS(AA$24-$I98 &lt;=1, 5/6, AA$24-$I98 &lt;=5, (7-(AA$24-$I98))/6, AND(AA$24-$I98 =6,NOT(_xlfn.IFNA(ISNUMBER(SEARCH("Rending",$L98)),FALSE))), (7-(AA$24-$I98))/6, AND(AA$24-$I98 &gt;=7,NOT(_xlfn.IFNA(ISNUMBER(SEARCH("Rending",$L98)),FALSE))), 0, AA$24-$I98 =7, (7-(AA$24-1-$I98))/6, AA$24-$I98 =8, (7-(AA$24-2-$I98))/6*2/3, AA$24-$I98 =9, (7-(AA$24-3-$I98))/6*1/3, TRUE, 0)) *
IF(ISNUMBER(SEARCH("Ordinance",$L98)),7/6,1) *
IF(OR(ISNUMBER(SEARCH("Melee",$L98)),ISNUMBER(SEARCH("Bypass",$L98))),1.5,1)</f>
        <v>1.3333333333333333</v>
      </c>
      <c r="AB98" s="17" cm="1">
        <f t="array" ref="AB98">$H98 *
IF(ISNUMBER(SEARCH("Rapid",$L98)),7/6,1) *
IF(OR(ISNUMBER(SEARCH("Beam",$L98)),ISNUMBER(SEARCH("Firestorm",$L98))),1, IF(ISNUMBER(SEARCH("Blast",$L98)),(4+$F98+(2-$F98)*0.5)/6*2,(4+$F98)/6)) *
IF(ISNUMBER(SEARCH("Fusion",$L98)), _xlfn.IFS(AB$24-$I98 &lt;=1, 9/10, AB$24-$I98 &lt;=10,(11-(AB$24-$I98))/10, AB$24-$I98 &gt;=11, 0),
_xlfn.IFS(AB$24-$I98 &lt;=1, 5/6, AB$24-$I98 &lt;=5, (7-(AB$24-$I98))/6, AND(AB$24-$I98 =6,NOT(_xlfn.IFNA(ISNUMBER(SEARCH("Rending",$L98)),FALSE))), (7-(AB$24-$I98))/6, AND(AB$24-$I98 &gt;=7,NOT(_xlfn.IFNA(ISNUMBER(SEARCH("Rending",$L98)),FALSE))), 0, AB$24-$I98 =7, (7-(AB$24-1-$I98))/6, AB$24-$I98 =8, (7-(AB$24-2-$I98))/6*2/3, AB$24-$I98 =9, (7-(AB$24-3-$I98))/6*1/3, TRUE, 0)) *
IF(ISNUMBER(SEARCH("Ordinance",$L98)),7/6,1) *
IF(OR(ISNUMBER(SEARCH("Melee",$L98)),ISNUMBER(SEARCH("Bypass",$L98))),1.5,1)</f>
        <v>0.88888888888888884</v>
      </c>
      <c r="AC98" s="17" cm="1">
        <f t="array" ref="AC98">$H98 *
IF(ISNUMBER(SEARCH("Rapid",$L98)),7/6,1) *
IF(OR(ISNUMBER(SEARCH("Beam",$L98)),ISNUMBER(SEARCH("Firestorm",$L98))),1, IF(ISNUMBER(SEARCH("Blast",$L98)),(4+$F98+(2-$F98)*0.5)/6*2,(4+$F98)/6)) *
IF(ISNUMBER(SEARCH("Fusion",$L98)), _xlfn.IFS(AC$24-$I98 &lt;=1, 9/10, AC$24-$I98 &lt;=10,(11-(AC$24-$I98))/10, AC$24-$I98 &gt;=11, 0),
_xlfn.IFS(AC$24-$I98 &lt;=1, 5/6, AC$24-$I98 &lt;=5, (7-(AC$24-$I98))/6, AND(AC$24-$I98 =6,NOT(_xlfn.IFNA(ISNUMBER(SEARCH("Rending",$L98)),FALSE))), (7-(AC$24-$I98))/6, AND(AC$24-$I98 &gt;=7,NOT(_xlfn.IFNA(ISNUMBER(SEARCH("Rending",$L98)),FALSE))), 0, AC$24-$I98 =7, (7-(AC$24-1-$I98))/6, AC$24-$I98 =8, (7-(AC$24-2-$I98))/6*2/3, AC$24-$I98 =9, (7-(AC$24-3-$I98))/6*1/3, TRUE, 0)) *
IF(ISNUMBER(SEARCH("Ordinance",$L98)),7/6,1) *
IF(OR(ISNUMBER(SEARCH("Melee",$L98)),ISNUMBER(SEARCH("Bypass",$L98))),1.5,1)</f>
        <v>0.44444444444444442</v>
      </c>
      <c r="AD98" s="17" cm="1">
        <f t="array" ref="AD98">$H98 *
IF(ISNUMBER(SEARCH("Rapid",$L98)),7/6,1) *
IF(OR(ISNUMBER(SEARCH("Beam",$L98)),ISNUMBER(SEARCH("Firestorm",$L98))),1, IF(ISNUMBER(SEARCH("Blast",$L98)),(4+$F98+(2-$F98)*0.5)/6*2,(4+$F98)/6)) *
IF(ISNUMBER(SEARCH("Fusion",$L98)), _xlfn.IFS(AD$24-$I98 &lt;=1, 9/10, AD$24-$I98 &lt;=10,(11-(AD$24-$I98))/10, AD$24-$I98 &gt;=11, 0),
_xlfn.IFS(AD$24-$I98 &lt;=1, 5/6, AD$24-$I98 &lt;=5, (7-(AD$24-$I98))/6, AND(AD$24-$I98 =6,NOT(_xlfn.IFNA(ISNUMBER(SEARCH("Rending",$L98)),FALSE))), (7-(AD$24-$I98))/6, AND(AD$24-$I98 &gt;=7,NOT(_xlfn.IFNA(ISNUMBER(SEARCH("Rending",$L98)),FALSE))), 0, AD$24-$I98 =7, (7-(AD$24-1-$I98))/6, AD$24-$I98 =8, (7-(AD$24-2-$I98))/6*2/3, AD$24-$I98 =9, (7-(AD$24-3-$I98))/6*1/3, TRUE, 0)) *
IF(ISNUMBER(SEARCH("Ordinance",$L98)),7/6,1) *
IF(OR(ISNUMBER(SEARCH("Melee",$L98)),ISNUMBER(SEARCH("Bypass",$L98))),1.5,1)</f>
        <v>0</v>
      </c>
      <c r="AE98" s="17" cm="1">
        <f t="array" ref="AE98">$H98 *
IF(ISNUMBER(SEARCH("Rapid",$L98)),7/6,1) *
IF(OR(ISNUMBER(SEARCH("Beam",$L98)),ISNUMBER(SEARCH("Firestorm",$L98))),1, IF(ISNUMBER(SEARCH("Blast",$L98)),(4+$F98+(2-$F98)*0.5)/6*2,(4+$F98)/6)) *
IF(ISNUMBER(SEARCH("Fusion",$L98)), _xlfn.IFS(AE$24-$I98 &lt;=1, 9/10, AE$24-$I98 &lt;=10,(11-(AE$24-$I98))/10, AE$24-$I98 &gt;=11, 0),
_xlfn.IFS(AE$24-$I98 &lt;=1, 5/6, AE$24-$I98 &lt;=5, (7-(AE$24-$I98))/6, AND(AE$24-$I98 =6,NOT(_xlfn.IFNA(ISNUMBER(SEARCH("Rending",$L98)),FALSE))), (7-(AE$24-$I98))/6, AND(AE$24-$I98 &gt;=7,NOT(_xlfn.IFNA(ISNUMBER(SEARCH("Rending",$L98)),FALSE))), 0, AE$24-$I98 =7, (7-(AE$24-1-$I98))/6, AE$24-$I98 =8, (7-(AE$24-2-$I98))/6*2/3, AE$24-$I98 =9, (7-(AE$24-3-$I98))/6*1/3, TRUE, 0)) *
IF(ISNUMBER(SEARCH("Ordinance",$L98)),7/6,1) *
IF(OR(ISNUMBER(SEARCH("Melee",$L98)),ISNUMBER(SEARCH("Bypass",$L98))),1.5,1)</f>
        <v>0</v>
      </c>
      <c r="AF98" s="17" cm="1">
        <f t="array" ref="AF98">$H98 *
IF(ISNUMBER(SEARCH("Rapid",$L98)),7/6,1) *
IF(OR(ISNUMBER(SEARCH("Beam",$L98)),ISNUMBER(SEARCH("Firestorm",$L98))),1, IF(ISNUMBER(SEARCH("Blast",$L98)),(4+$F98+(2-$F98)*0.5)/6*2,(4+$F98)/6)) *
IF(ISNUMBER(SEARCH("Fusion",$L98)), _xlfn.IFS(AF$24-$I98 &lt;=1, 9/10, AF$24-$I98 &lt;=10,(11-(AF$24-$I98))/10, AF$24-$I98 &gt;=11, 0),
_xlfn.IFS(AF$24-$I98 &lt;=1, 5/6, AF$24-$I98 &lt;=5, (7-(AF$24-$I98))/6, AND(AF$24-$I98 =6,NOT(_xlfn.IFNA(ISNUMBER(SEARCH("Rending",$L98)),FALSE))), (7-(AF$24-$I98))/6, AND(AF$24-$I98 &gt;=7,NOT(_xlfn.IFNA(ISNUMBER(SEARCH("Rending",$L98)),FALSE))), 0, AF$24-$I98 =7, (7-(AF$24-1-$I98))/6, AF$24-$I98 =8, (7-(AF$24-2-$I98))/6*2/3, AF$24-$I98 =9, (7-(AF$24-3-$I98))/6*1/3, TRUE, 0)) *
IF(ISNUMBER(SEARCH("Ordinance",$L98)),7/6,1) *
IF(OR(ISNUMBER(SEARCH("Melee",$L98)),ISNUMBER(SEARCH("Bypass",$L98))),1.5,1)</f>
        <v>0</v>
      </c>
      <c r="AG98" s="16">
        <f t="shared" si="22"/>
        <v>1.3333333333333333</v>
      </c>
      <c r="AH98" s="16">
        <f t="shared" si="23"/>
        <v>1.7777777777777777</v>
      </c>
      <c r="AI98" s="17" cm="1">
        <f t="array" ref="AI98">$H98 *
IF(ISNUMBER(SEARCH("Rapid",$L98)),7/6,1) *
IF(OR(ISNUMBER(SEARCH("Beam",$L98)),ISNUMBER(SEARCH("Firestorm",$L98))),1, IF(ISNUMBER(SEARCH("Blast",$L98)),(4+$G98+(2-$G98)*0.5)/6*2,(4+$G98)/6)) *
_xlfn.IFS(AI$24-$I98 &lt;=1, 5/6, AI$24-$I98 &lt;=5, (7-(AI$24-$I98))/6, AND(AI$24-$I98 =6,NOT(_xlfn.IFNA(ISNUMBER(SEARCH("Rending",$L98)),FALSE))), (7-(AI$24-$I98))/6, AND(AI$24-$I98 &gt;=7,NOT(_xlfn.IFNA(ISNUMBER(SEARCH("Rending",$L98)),FALSE))), 0, AI$24-$I98 =7, (7-(AI$24-1-$I98))/6, AI$24-$I98 =8, (7-(AI$24-2-$I98))/6*2/3, AI$24-$I98 =9, (7-(AI$24-3-$I98))/6*1/3, TRUE, 0) *
IF(ISNUMBER(SEARCH("Ordinance",$L98)),7/6,1) *
IF(OR(ISNUMBER(SEARCH("Melee",$L98)),ISNUMBER(SEARCH("Bypass",$L98))),1.5,1)</f>
        <v>2.2222222222222223</v>
      </c>
      <c r="AJ98" s="17" cm="1">
        <f t="array" ref="AJ98">$H98 *
IF(ISNUMBER(SEARCH("Rapid",$L98)),7/6,1) *
IF(OR(ISNUMBER(SEARCH("Beam",$L98)),ISNUMBER(SEARCH("Firestorm",$L98))),1, IF(ISNUMBER(SEARCH("Blast",$L98)),(4+$G98+(2-$G98)*0.5)/6*2,(4+$G98)/6)) *
_xlfn.IFS(AJ$24-$I98 &lt;=1, 5/6, AJ$24-$I98 &lt;=5, (7-(AJ$24-$I98))/6, AND(AJ$24-$I98 =6,NOT(_xlfn.IFNA(ISNUMBER(SEARCH("Rending",$L98)),FALSE))), (7-(AJ$24-$I98))/6, AND(AJ$24-$I98 &gt;=7,NOT(_xlfn.IFNA(ISNUMBER(SEARCH("Rending",$L98)),FALSE))), 0, AJ$24-$I98 =7, (7-(AJ$24-1-$I98))/6, AJ$24-$I98 =8, (7-(AJ$24-2-$I98))/6*2/3, AJ$24-$I98 =9, (7-(AJ$24-3-$I98))/6*1/3, TRUE, 0) *
IF(ISNUMBER(SEARCH("Ordinance",$L98)),7/6,1) *
IF(OR(ISNUMBER(SEARCH("Melee",$L98)),ISNUMBER(SEARCH("Bypass",$L98))),1.5,1)</f>
        <v>2.2222222222222223</v>
      </c>
      <c r="AK98" s="17" cm="1">
        <f t="array" ref="AK98">$H98 *
IF(ISNUMBER(SEARCH("Rapid",$L98)),7/6,1) *
IF(OR(ISNUMBER(SEARCH("Beam",$L98)),ISNUMBER(SEARCH("Firestorm",$L98))),1, IF(ISNUMBER(SEARCH("Blast",$L98)),(4+$G98+(2-$G98)*0.5)/6*2,(4+$G98)/6)) *
_xlfn.IFS(AK$24-$I98 &lt;=1, 5/6, AK$24-$I98 &lt;=5, (7-(AK$24-$I98))/6, AND(AK$24-$I98 =6,NOT(_xlfn.IFNA(ISNUMBER(SEARCH("Rending",$L98)),FALSE))), (7-(AK$24-$I98))/6, AND(AK$24-$I98 &gt;=7,NOT(_xlfn.IFNA(ISNUMBER(SEARCH("Rending",$L98)),FALSE))), 0, AK$24-$I98 =7, (7-(AK$24-1-$I98))/6, AK$24-$I98 =8, (7-(AK$24-2-$I98))/6*2/3, AK$24-$I98 =9, (7-(AK$24-3-$I98))/6*1/3, TRUE, 0) *
IF(ISNUMBER(SEARCH("Ordinance",$L98)),7/6,1) *
IF(OR(ISNUMBER(SEARCH("Melee",$L98)),ISNUMBER(SEARCH("Bypass",$L98))),1.5,1)</f>
        <v>1.7777777777777777</v>
      </c>
      <c r="AL98" s="17" cm="1">
        <f t="array" ref="AL98">$H98 *
IF(ISNUMBER(SEARCH("Rapid",$L98)),7/6,1) *
IF(OR(ISNUMBER(SEARCH("Beam",$L98)),ISNUMBER(SEARCH("Firestorm",$L98))),1, IF(ISNUMBER(SEARCH("Blast",$L98)),(4+$G98+(2-$G98)*0.5)/6*2,(4+$G98)/6)) *
_xlfn.IFS(AL$24-$I98 &lt;=1, 5/6, AL$24-$I98 &lt;=5, (7-(AL$24-$I98))/6, AND(AL$24-$I98 =6,NOT(_xlfn.IFNA(ISNUMBER(SEARCH("Rending",$L98)),FALSE))), (7-(AL$24-$I98))/6, AND(AL$24-$I98 &gt;=7,NOT(_xlfn.IFNA(ISNUMBER(SEARCH("Rending",$L98)),FALSE))), 0, AL$24-$I98 =7, (7-(AL$24-1-$I98))/6, AL$24-$I98 =8, (7-(AL$24-2-$I98))/6*2/3, AL$24-$I98 =9, (7-(AL$24-3-$I98))/6*1/3, TRUE, 0) *
IF(ISNUMBER(SEARCH("Ordinance",$L98)),7/6,1) *
IF(OR(ISNUMBER(SEARCH("Melee",$L98)),ISNUMBER(SEARCH("Bypass",$L98))),1.5,1)</f>
        <v>1.3333333333333333</v>
      </c>
      <c r="AM98" s="17" cm="1">
        <f t="array" ref="AM98">$H98 *
IF(ISNUMBER(SEARCH("Rapid",$L98)),7/6,1) *
IF(OR(ISNUMBER(SEARCH("Beam",$L98)),ISNUMBER(SEARCH("Firestorm",$L98))),1, IF(ISNUMBER(SEARCH("Blast",$L98)),(4+$G98+(2-$G98)*0.5)/6*2,(4+$G98)/6)) *
_xlfn.IFS(AM$24-$I98 &lt;=1, 5/6, AM$24-$I98 &lt;=5, (7-(AM$24-$I98))/6, AND(AM$24-$I98 =6,NOT(_xlfn.IFNA(ISNUMBER(SEARCH("Rending",$L98)),FALSE))), (7-(AM$24-$I98))/6, AND(AM$24-$I98 &gt;=7,NOT(_xlfn.IFNA(ISNUMBER(SEARCH("Rending",$L98)),FALSE))), 0, AM$24-$I98 =7, (7-(AM$24-1-$I98))/6, AM$24-$I98 =8, (7-(AM$24-2-$I98))/6*2/3, AM$24-$I98 =9, (7-(AM$24-3-$I98))/6*1/3, TRUE, 0) *
IF(ISNUMBER(SEARCH("Ordinance",$L98)),7/6,1) *
IF(OR(ISNUMBER(SEARCH("Melee",$L98)),ISNUMBER(SEARCH("Bypass",$L98))),1.5,1)</f>
        <v>0.88888888888888884</v>
      </c>
      <c r="AN98" s="17" cm="1">
        <f t="array" ref="AN98">$H98 *
IF(ISNUMBER(SEARCH("Rapid",$L98)),7/6,1) *
IF(OR(ISNUMBER(SEARCH("Beam",$L98)),ISNUMBER(SEARCH("Firestorm",$L98))),1, IF(ISNUMBER(SEARCH("Blast",$L98)),(4+$G98+(2-$G98)*0.5)/6*2,(4+$G98)/6)) *
_xlfn.IFS(AN$24-$I98 &lt;=1, 5/6, AN$24-$I98 &lt;=5, (7-(AN$24-$I98))/6, AND(AN$24-$I98 =6,NOT(_xlfn.IFNA(ISNUMBER(SEARCH("Rending",$L98)),FALSE))), (7-(AN$24-$I98))/6, AND(AN$24-$I98 &gt;=7,NOT(_xlfn.IFNA(ISNUMBER(SEARCH("Rending",$L98)),FALSE))), 0, AN$24-$I98 =7, (7-(AN$24-1-$I98))/6, AN$24-$I98 =8, (7-(AN$24-2-$I98))/6*2/3, AN$24-$I98 =9, (7-(AN$24-3-$I98))/6*1/3, TRUE, 0) *
IF(ISNUMBER(SEARCH("Ordinance",$L98)),7/6,1) *
IF(OR(ISNUMBER(SEARCH("Melee",$L98)),ISNUMBER(SEARCH("Bypass",$L98))),1.5,1)</f>
        <v>0.44444444444444442</v>
      </c>
      <c r="AO98" s="17" cm="1">
        <f t="array" ref="AO98">$H98 *
IF(ISNUMBER(SEARCH("Rapid",$L98)),7/6,1) *
IF(OR(ISNUMBER(SEARCH("Beam",$L98)),ISNUMBER(SEARCH("Firestorm",$L98))),1, IF(ISNUMBER(SEARCH("Blast",$L98)),(4+$G98+(2-$G98)*0.5)/6*2,(4+$G98)/6)) *
_xlfn.IFS(AO$24-$I98 &lt;=1, 5/6, AO$24-$I98 &lt;=5, (7-(AO$24-$I98))/6, AND(AO$24-$I98 =6,NOT(_xlfn.IFNA(ISNUMBER(SEARCH("Rending",$L98)),FALSE))), (7-(AO$24-$I98))/6, AND(AO$24-$I98 &gt;=7,NOT(_xlfn.IFNA(ISNUMBER(SEARCH("Rending",$L98)),FALSE))), 0, AO$24-$I98 =7, (7-(AO$24-1-$I98))/6, AO$24-$I98 =8, (7-(AO$24-2-$I98))/6*2/3, AO$24-$I98 =9, (7-(AO$24-3-$I98))/6*1/3, TRUE, 0) *
IF(ISNUMBER(SEARCH("Ordinance",$L98)),7/6,1) *
IF(OR(ISNUMBER(SEARCH("Melee",$L98)),ISNUMBER(SEARCH("Bypass",$L98))),1.5,1)</f>
        <v>0</v>
      </c>
      <c r="AP98" s="17" cm="1">
        <f t="array" ref="AP98">$H98 *
IF(ISNUMBER(SEARCH("Rapid",$L98)),7/6,1) *
IF(OR(ISNUMBER(SEARCH("Beam",$L98)),ISNUMBER(SEARCH("Firestorm",$L98))),1, IF(ISNUMBER(SEARCH("Blast",$L98)),(4+$G98+(2-$G98)*0.5)/6*2,(4+$G98)/6)) *
_xlfn.IFS(AP$24-$I98 &lt;=1, 5/6, AP$24-$I98 &lt;=5, (7-(AP$24-$I98))/6, AND(AP$24-$I98 =6,NOT(_xlfn.IFNA(ISNUMBER(SEARCH("Rending",$L98)),FALSE))), (7-(AP$24-$I98))/6, AND(AP$24-$I98 &gt;=7,NOT(_xlfn.IFNA(ISNUMBER(SEARCH("Rending",$L98)),FALSE))), 0, AP$24-$I98 =7, (7-(AP$24-1-$I98))/6, AP$24-$I98 =8, (7-(AP$24-2-$I98))/6*2/3, AP$24-$I98 =9, (7-(AP$24-3-$I98))/6*1/3, TRUE, 0) *
IF(ISNUMBER(SEARCH("Ordinance",$L98)),7/6,1) *
IF(OR(ISNUMBER(SEARCH("Melee",$L98)),ISNUMBER(SEARCH("Bypass",$L98))),1.5,1)</f>
        <v>0</v>
      </c>
      <c r="AQ98" s="17" cm="1">
        <f t="array" ref="AQ98">$H98 *
IF(ISNUMBER(SEARCH("Rapid",$L98)),7/6,1) *
IF(OR(ISNUMBER(SEARCH("Beam",$L98)),ISNUMBER(SEARCH("Firestorm",$L98))),1, IF(ISNUMBER(SEARCH("Blast",$L98)),(4+$G98+(2-$G98)*0.5)/6*2,(4+$G98)/6)) *
_xlfn.IFS(AQ$24-$I98 &lt;=1, 5/6, AQ$24-$I98 &lt;=5, (7-(AQ$24-$I98))/6, AND(AQ$24-$I98 =6,NOT(_xlfn.IFNA(ISNUMBER(SEARCH("Rending",$L98)),FALSE))), (7-(AQ$24-$I98))/6, AND(AQ$24-$I98 &gt;=7,NOT(_xlfn.IFNA(ISNUMBER(SEARCH("Rending",$L98)),FALSE))), 0, AQ$24-$I98 =7, (7-(AQ$24-1-$I98))/6, AQ$24-$I98 =8, (7-(AQ$24-2-$I98))/6*2/3, AQ$24-$I98 =9, (7-(AQ$24-3-$I98))/6*1/3, TRUE, 0) *
IF(ISNUMBER(SEARCH("Ordinance",$L98)),7/6,1) *
IF(OR(ISNUMBER(SEARCH("Melee",$L98)),ISNUMBER(SEARCH("Bypass",$L98))),1.5,1)</f>
        <v>0</v>
      </c>
      <c r="AS98" s="16">
        <f t="shared" si="26"/>
        <v>0.88888888888888884</v>
      </c>
      <c r="AT98" s="16">
        <f t="shared" si="27"/>
        <v>1.1851851851851851</v>
      </c>
      <c r="AU98" s="16">
        <f t="shared" si="28"/>
        <v>1.8518518518518519</v>
      </c>
      <c r="AV98" s="2">
        <v>10</v>
      </c>
    </row>
    <row r="99" spans="1:48" x14ac:dyDescent="0.3">
      <c r="A99" t="s">
        <v>242</v>
      </c>
      <c r="B99" s="3">
        <v>8</v>
      </c>
      <c r="C99" s="3">
        <v>24</v>
      </c>
      <c r="E99" s="3">
        <v>2</v>
      </c>
      <c r="F99" s="10">
        <v>1</v>
      </c>
      <c r="G99" s="10">
        <v>0</v>
      </c>
      <c r="H99" s="3">
        <v>12</v>
      </c>
      <c r="I99" s="3">
        <v>5</v>
      </c>
      <c r="J99" s="3" t="s">
        <v>254</v>
      </c>
      <c r="K99" s="3">
        <v>30</v>
      </c>
      <c r="L99" s="3" t="s">
        <v>256</v>
      </c>
      <c r="M99" s="3" t="s">
        <v>236</v>
      </c>
      <c r="N99" s="3">
        <v>11</v>
      </c>
      <c r="O99" s="3">
        <v>11</v>
      </c>
      <c r="P99" s="3">
        <v>15</v>
      </c>
      <c r="Q99" s="3" t="s">
        <v>200</v>
      </c>
      <c r="R99" s="3">
        <v>7</v>
      </c>
      <c r="S99" s="3">
        <v>9</v>
      </c>
      <c r="T99" s="3">
        <v>3</v>
      </c>
      <c r="U99" t="s">
        <v>268</v>
      </c>
      <c r="V99" s="16">
        <f t="shared" si="20"/>
        <v>3.333333333333333</v>
      </c>
      <c r="W99" s="16">
        <f t="shared" si="21"/>
        <v>5</v>
      </c>
      <c r="X99" s="17" cm="1">
        <f t="array" ref="X99">$H99 *
IF(ISNUMBER(SEARCH("Rapid",$L99)),7/6,1) *
IF(OR(ISNUMBER(SEARCH("Beam",$L99)),ISNUMBER(SEARCH("Firestorm",$L99))),1, IF(ISNUMBER(SEARCH("Blast",$L99)),(4+$F99+(2-$F99)*0.5)/6*2,(4+$F99)/6)) *
IF(ISNUMBER(SEARCH("Fusion",$L99)), _xlfn.IFS(X$24-$I99 &lt;=1, 9/10, X$24-$I99 &lt;=10,(11-(X$24-$I99))/10, X$24-$I99 &gt;=11, 0),
_xlfn.IFS(X$24-$I99 &lt;=1, 5/6, X$24-$I99 &lt;=5, (7-(X$24-$I99))/6, AND(X$24-$I99 =6,NOT(_xlfn.IFNA(ISNUMBER(SEARCH("Rending",$L99)),FALSE))), (7-(X$24-$I99))/6, AND(X$24-$I99 &gt;=7,NOT(_xlfn.IFNA(ISNUMBER(SEARCH("Rending",$L99)),FALSE))), 0, X$24-$I99 =7, (7-(X$24-1-$I99))/6, X$24-$I99 =8, (7-(X$24-2-$I99))/6*2/3, X$24-$I99 =9, (7-(X$24-3-$I99))/6*1/3, TRUE, 0)) *
IF(ISNUMBER(SEARCH("Ordinance",$L99)),7/6,1) *
IF(OR(ISNUMBER(SEARCH("Melee",$L99)),ISNUMBER(SEARCH("Bypass",$L99))),1.5,1)</f>
        <v>5.8333333333333339</v>
      </c>
      <c r="Y99" s="17" cm="1">
        <f t="array" ref="Y99">$H99 *
IF(ISNUMBER(SEARCH("Rapid",$L99)),7/6,1) *
IF(OR(ISNUMBER(SEARCH("Beam",$L99)),ISNUMBER(SEARCH("Firestorm",$L99))),1, IF(ISNUMBER(SEARCH("Blast",$L99)),(4+$F99+(2-$F99)*0.5)/6*2,(4+$F99)/6)) *
IF(ISNUMBER(SEARCH("Fusion",$L99)), _xlfn.IFS(Y$24-$I99 &lt;=1, 9/10, Y$24-$I99 &lt;=10,(11-(Y$24-$I99))/10, Y$24-$I99 &gt;=11, 0),
_xlfn.IFS(Y$24-$I99 &lt;=1, 5/6, Y$24-$I99 &lt;=5, (7-(Y$24-$I99))/6, AND(Y$24-$I99 =6,NOT(_xlfn.IFNA(ISNUMBER(SEARCH("Rending",$L99)),FALSE))), (7-(Y$24-$I99))/6, AND(Y$24-$I99 &gt;=7,NOT(_xlfn.IFNA(ISNUMBER(SEARCH("Rending",$L99)),FALSE))), 0, Y$24-$I99 =7, (7-(Y$24-1-$I99))/6, Y$24-$I99 =8, (7-(Y$24-2-$I99))/6*2/3, Y$24-$I99 =9, (7-(Y$24-3-$I99))/6*1/3, TRUE, 0)) *
IF(ISNUMBER(SEARCH("Ordinance",$L99)),7/6,1) *
IF(OR(ISNUMBER(SEARCH("Melee",$L99)),ISNUMBER(SEARCH("Bypass",$L99))),1.5,1)</f>
        <v>3.8888888888888888</v>
      </c>
      <c r="Z99" s="17" cm="1">
        <f t="array" ref="Z99">$H99 *
IF(ISNUMBER(SEARCH("Rapid",$L99)),7/6,1) *
IF(OR(ISNUMBER(SEARCH("Beam",$L99)),ISNUMBER(SEARCH("Firestorm",$L99))),1, IF(ISNUMBER(SEARCH("Blast",$L99)),(4+$F99+(2-$F99)*0.5)/6*2,(4+$F99)/6)) *
IF(ISNUMBER(SEARCH("Fusion",$L99)), _xlfn.IFS(Z$24-$I99 &lt;=1, 9/10, Z$24-$I99 &lt;=10,(11-(Z$24-$I99))/10, Z$24-$I99 &gt;=11, 0),
_xlfn.IFS(Z$24-$I99 &lt;=1, 5/6, Z$24-$I99 &lt;=5, (7-(Z$24-$I99))/6, AND(Z$24-$I99 =6,NOT(_xlfn.IFNA(ISNUMBER(SEARCH("Rending",$L99)),FALSE))), (7-(Z$24-$I99))/6, AND(Z$24-$I99 &gt;=7,NOT(_xlfn.IFNA(ISNUMBER(SEARCH("Rending",$L99)),FALSE))), 0, Z$24-$I99 =7, (7-(Z$24-1-$I99))/6, Z$24-$I99 =8, (7-(Z$24-2-$I99))/6*2/3, Z$24-$I99 =9, (7-(Z$24-3-$I99))/6*1/3, TRUE, 0)) *
IF(ISNUMBER(SEARCH("Ordinance",$L99)),7/6,1) *
IF(OR(ISNUMBER(SEARCH("Melee",$L99)),ISNUMBER(SEARCH("Bypass",$L99))),1.5,1)</f>
        <v>1.9444444444444444</v>
      </c>
      <c r="AA99" s="17" cm="1">
        <f t="array" ref="AA99">$H99 *
IF(ISNUMBER(SEARCH("Rapid",$L99)),7/6,1) *
IF(OR(ISNUMBER(SEARCH("Beam",$L99)),ISNUMBER(SEARCH("Firestorm",$L99))),1, IF(ISNUMBER(SEARCH("Blast",$L99)),(4+$F99+(2-$F99)*0.5)/6*2,(4+$F99)/6)) *
IF(ISNUMBER(SEARCH("Fusion",$L99)), _xlfn.IFS(AA$24-$I99 &lt;=1, 9/10, AA$24-$I99 &lt;=10,(11-(AA$24-$I99))/10, AA$24-$I99 &gt;=11, 0),
_xlfn.IFS(AA$24-$I99 &lt;=1, 5/6, AA$24-$I99 &lt;=5, (7-(AA$24-$I99))/6, AND(AA$24-$I99 =6,NOT(_xlfn.IFNA(ISNUMBER(SEARCH("Rending",$L99)),FALSE))), (7-(AA$24-$I99))/6, AND(AA$24-$I99 &gt;=7,NOT(_xlfn.IFNA(ISNUMBER(SEARCH("Rending",$L99)),FALSE))), 0, AA$24-$I99 =7, (7-(AA$24-1-$I99))/6, AA$24-$I99 =8, (7-(AA$24-2-$I99))/6*2/3, AA$24-$I99 =9, (7-(AA$24-3-$I99))/6*1/3, TRUE, 0)) *
IF(ISNUMBER(SEARCH("Ordinance",$L99)),7/6,1) *
IF(OR(ISNUMBER(SEARCH("Melee",$L99)),ISNUMBER(SEARCH("Bypass",$L99))),1.5,1)</f>
        <v>0</v>
      </c>
      <c r="AB99" s="17" cm="1">
        <f t="array" ref="AB99">$H99 *
IF(ISNUMBER(SEARCH("Rapid",$L99)),7/6,1) *
IF(OR(ISNUMBER(SEARCH("Beam",$L99)),ISNUMBER(SEARCH("Firestorm",$L99))),1, IF(ISNUMBER(SEARCH("Blast",$L99)),(4+$F99+(2-$F99)*0.5)/6*2,(4+$F99)/6)) *
IF(ISNUMBER(SEARCH("Fusion",$L99)), _xlfn.IFS(AB$24-$I99 &lt;=1, 9/10, AB$24-$I99 &lt;=10,(11-(AB$24-$I99))/10, AB$24-$I99 &gt;=11, 0),
_xlfn.IFS(AB$24-$I99 &lt;=1, 5/6, AB$24-$I99 &lt;=5, (7-(AB$24-$I99))/6, AND(AB$24-$I99 =6,NOT(_xlfn.IFNA(ISNUMBER(SEARCH("Rending",$L99)),FALSE))), (7-(AB$24-$I99))/6, AND(AB$24-$I99 &gt;=7,NOT(_xlfn.IFNA(ISNUMBER(SEARCH("Rending",$L99)),FALSE))), 0, AB$24-$I99 =7, (7-(AB$24-1-$I99))/6, AB$24-$I99 =8, (7-(AB$24-2-$I99))/6*2/3, AB$24-$I99 =9, (7-(AB$24-3-$I99))/6*1/3, TRUE, 0)) *
IF(ISNUMBER(SEARCH("Ordinance",$L99)),7/6,1) *
IF(OR(ISNUMBER(SEARCH("Melee",$L99)),ISNUMBER(SEARCH("Bypass",$L99))),1.5,1)</f>
        <v>0</v>
      </c>
      <c r="AC99" s="17" cm="1">
        <f t="array" ref="AC99">$H99 *
IF(ISNUMBER(SEARCH("Rapid",$L99)),7/6,1) *
IF(OR(ISNUMBER(SEARCH("Beam",$L99)),ISNUMBER(SEARCH("Firestorm",$L99))),1, IF(ISNUMBER(SEARCH("Blast",$L99)),(4+$F99+(2-$F99)*0.5)/6*2,(4+$F99)/6)) *
IF(ISNUMBER(SEARCH("Fusion",$L99)), _xlfn.IFS(AC$24-$I99 &lt;=1, 9/10, AC$24-$I99 &lt;=10,(11-(AC$24-$I99))/10, AC$24-$I99 &gt;=11, 0),
_xlfn.IFS(AC$24-$I99 &lt;=1, 5/6, AC$24-$I99 &lt;=5, (7-(AC$24-$I99))/6, AND(AC$24-$I99 =6,NOT(_xlfn.IFNA(ISNUMBER(SEARCH("Rending",$L99)),FALSE))), (7-(AC$24-$I99))/6, AND(AC$24-$I99 &gt;=7,NOT(_xlfn.IFNA(ISNUMBER(SEARCH("Rending",$L99)),FALSE))), 0, AC$24-$I99 =7, (7-(AC$24-1-$I99))/6, AC$24-$I99 =8, (7-(AC$24-2-$I99))/6*2/3, AC$24-$I99 =9, (7-(AC$24-3-$I99))/6*1/3, TRUE, 0)) *
IF(ISNUMBER(SEARCH("Ordinance",$L99)),7/6,1) *
IF(OR(ISNUMBER(SEARCH("Melee",$L99)),ISNUMBER(SEARCH("Bypass",$L99))),1.5,1)</f>
        <v>0</v>
      </c>
      <c r="AD99" s="17" cm="1">
        <f t="array" ref="AD99">$H99 *
IF(ISNUMBER(SEARCH("Rapid",$L99)),7/6,1) *
IF(OR(ISNUMBER(SEARCH("Beam",$L99)),ISNUMBER(SEARCH("Firestorm",$L99))),1, IF(ISNUMBER(SEARCH("Blast",$L99)),(4+$F99+(2-$F99)*0.5)/6*2,(4+$F99)/6)) *
IF(ISNUMBER(SEARCH("Fusion",$L99)), _xlfn.IFS(AD$24-$I99 &lt;=1, 9/10, AD$24-$I99 &lt;=10,(11-(AD$24-$I99))/10, AD$24-$I99 &gt;=11, 0),
_xlfn.IFS(AD$24-$I99 &lt;=1, 5/6, AD$24-$I99 &lt;=5, (7-(AD$24-$I99))/6, AND(AD$24-$I99 =6,NOT(_xlfn.IFNA(ISNUMBER(SEARCH("Rending",$L99)),FALSE))), (7-(AD$24-$I99))/6, AND(AD$24-$I99 &gt;=7,NOT(_xlfn.IFNA(ISNUMBER(SEARCH("Rending",$L99)),FALSE))), 0, AD$24-$I99 =7, (7-(AD$24-1-$I99))/6, AD$24-$I99 =8, (7-(AD$24-2-$I99))/6*2/3, AD$24-$I99 =9, (7-(AD$24-3-$I99))/6*1/3, TRUE, 0)) *
IF(ISNUMBER(SEARCH("Ordinance",$L99)),7/6,1) *
IF(OR(ISNUMBER(SEARCH("Melee",$L99)),ISNUMBER(SEARCH("Bypass",$L99))),1.5,1)</f>
        <v>0</v>
      </c>
      <c r="AE99" s="17" cm="1">
        <f t="array" ref="AE99">$H99 *
IF(ISNUMBER(SEARCH("Rapid",$L99)),7/6,1) *
IF(OR(ISNUMBER(SEARCH("Beam",$L99)),ISNUMBER(SEARCH("Firestorm",$L99))),1, IF(ISNUMBER(SEARCH("Blast",$L99)),(4+$F99+(2-$F99)*0.5)/6*2,(4+$F99)/6)) *
IF(ISNUMBER(SEARCH("Fusion",$L99)), _xlfn.IFS(AE$24-$I99 &lt;=1, 9/10, AE$24-$I99 &lt;=10,(11-(AE$24-$I99))/10, AE$24-$I99 &gt;=11, 0),
_xlfn.IFS(AE$24-$I99 &lt;=1, 5/6, AE$24-$I99 &lt;=5, (7-(AE$24-$I99))/6, AND(AE$24-$I99 =6,NOT(_xlfn.IFNA(ISNUMBER(SEARCH("Rending",$L99)),FALSE))), (7-(AE$24-$I99))/6, AND(AE$24-$I99 &gt;=7,NOT(_xlfn.IFNA(ISNUMBER(SEARCH("Rending",$L99)),FALSE))), 0, AE$24-$I99 =7, (7-(AE$24-1-$I99))/6, AE$24-$I99 =8, (7-(AE$24-2-$I99))/6*2/3, AE$24-$I99 =9, (7-(AE$24-3-$I99))/6*1/3, TRUE, 0)) *
IF(ISNUMBER(SEARCH("Ordinance",$L99)),7/6,1) *
IF(OR(ISNUMBER(SEARCH("Melee",$L99)),ISNUMBER(SEARCH("Bypass",$L99))),1.5,1)</f>
        <v>0</v>
      </c>
      <c r="AF99" s="17" cm="1">
        <f t="array" ref="AF99">$H99 *
IF(ISNUMBER(SEARCH("Rapid",$L99)),7/6,1) *
IF(OR(ISNUMBER(SEARCH("Beam",$L99)),ISNUMBER(SEARCH("Firestorm",$L99))),1, IF(ISNUMBER(SEARCH("Blast",$L99)),(4+$F99+(2-$F99)*0.5)/6*2,(4+$F99)/6)) *
IF(ISNUMBER(SEARCH("Fusion",$L99)), _xlfn.IFS(AF$24-$I99 &lt;=1, 9/10, AF$24-$I99 &lt;=10,(11-(AF$24-$I99))/10, AF$24-$I99 &gt;=11, 0),
_xlfn.IFS(AF$24-$I99 &lt;=1, 5/6, AF$24-$I99 &lt;=5, (7-(AF$24-$I99))/6, AND(AF$24-$I99 =6,NOT(_xlfn.IFNA(ISNUMBER(SEARCH("Rending",$L99)),FALSE))), (7-(AF$24-$I99))/6, AND(AF$24-$I99 &gt;=7,NOT(_xlfn.IFNA(ISNUMBER(SEARCH("Rending",$L99)),FALSE))), 0, AF$24-$I99 =7, (7-(AF$24-1-$I99))/6, AF$24-$I99 =8, (7-(AF$24-2-$I99))/6*2/3, AF$24-$I99 =9, (7-(AF$24-3-$I99))/6*1/3, TRUE, 0)) *
IF(ISNUMBER(SEARCH("Ordinance",$L99)),7/6,1) *
IF(OR(ISNUMBER(SEARCH("Melee",$L99)),ISNUMBER(SEARCH("Bypass",$L99))),1.5,1)</f>
        <v>0</v>
      </c>
      <c r="AG99" s="16">
        <f t="shared" si="22"/>
        <v>2.6666666666666665</v>
      </c>
      <c r="AH99" s="16">
        <f t="shared" si="23"/>
        <v>4</v>
      </c>
      <c r="AI99" s="17" cm="1">
        <f t="array" ref="AI99">$H99 *
IF(ISNUMBER(SEARCH("Rapid",$L99)),7/6,1) *
IF(OR(ISNUMBER(SEARCH("Beam",$L99)),ISNUMBER(SEARCH("Firestorm",$L99))),1, IF(ISNUMBER(SEARCH("Blast",$L99)),(4+$G99+(2-$G99)*0.5)/6*2,(4+$G99)/6)) *
_xlfn.IFS(AI$24-$I99 &lt;=1, 5/6, AI$24-$I99 &lt;=5, (7-(AI$24-$I99))/6, AND(AI$24-$I99 =6,NOT(_xlfn.IFNA(ISNUMBER(SEARCH("Rending",$L99)),FALSE))), (7-(AI$24-$I99))/6, AND(AI$24-$I99 &gt;=7,NOT(_xlfn.IFNA(ISNUMBER(SEARCH("Rending",$L99)),FALSE))), 0, AI$24-$I99 =7, (7-(AI$24-1-$I99))/6, AI$24-$I99 =8, (7-(AI$24-2-$I99))/6*2/3, AI$24-$I99 =9, (7-(AI$24-3-$I99))/6*1/3, TRUE, 0) *
IF(ISNUMBER(SEARCH("Ordinance",$L99)),7/6,1) *
IF(OR(ISNUMBER(SEARCH("Melee",$L99)),ISNUMBER(SEARCH("Bypass",$L99))),1.5,1)</f>
        <v>4.666666666666667</v>
      </c>
      <c r="AJ99" s="17" cm="1">
        <f t="array" ref="AJ99">$H99 *
IF(ISNUMBER(SEARCH("Rapid",$L99)),7/6,1) *
IF(OR(ISNUMBER(SEARCH("Beam",$L99)),ISNUMBER(SEARCH("Firestorm",$L99))),1, IF(ISNUMBER(SEARCH("Blast",$L99)),(4+$G99+(2-$G99)*0.5)/6*2,(4+$G99)/6)) *
_xlfn.IFS(AJ$24-$I99 &lt;=1, 5/6, AJ$24-$I99 &lt;=5, (7-(AJ$24-$I99))/6, AND(AJ$24-$I99 =6,NOT(_xlfn.IFNA(ISNUMBER(SEARCH("Rending",$L99)),FALSE))), (7-(AJ$24-$I99))/6, AND(AJ$24-$I99 &gt;=7,NOT(_xlfn.IFNA(ISNUMBER(SEARCH("Rending",$L99)),FALSE))), 0, AJ$24-$I99 =7, (7-(AJ$24-1-$I99))/6, AJ$24-$I99 =8, (7-(AJ$24-2-$I99))/6*2/3, AJ$24-$I99 =9, (7-(AJ$24-3-$I99))/6*1/3, TRUE, 0) *
IF(ISNUMBER(SEARCH("Ordinance",$L99)),7/6,1) *
IF(OR(ISNUMBER(SEARCH("Melee",$L99)),ISNUMBER(SEARCH("Bypass",$L99))),1.5,1)</f>
        <v>3.1111111111111112</v>
      </c>
      <c r="AK99" s="17" cm="1">
        <f t="array" ref="AK99">$H99 *
IF(ISNUMBER(SEARCH("Rapid",$L99)),7/6,1) *
IF(OR(ISNUMBER(SEARCH("Beam",$L99)),ISNUMBER(SEARCH("Firestorm",$L99))),1, IF(ISNUMBER(SEARCH("Blast",$L99)),(4+$G99+(2-$G99)*0.5)/6*2,(4+$G99)/6)) *
_xlfn.IFS(AK$24-$I99 &lt;=1, 5/6, AK$24-$I99 &lt;=5, (7-(AK$24-$I99))/6, AND(AK$24-$I99 =6,NOT(_xlfn.IFNA(ISNUMBER(SEARCH("Rending",$L99)),FALSE))), (7-(AK$24-$I99))/6, AND(AK$24-$I99 &gt;=7,NOT(_xlfn.IFNA(ISNUMBER(SEARCH("Rending",$L99)),FALSE))), 0, AK$24-$I99 =7, (7-(AK$24-1-$I99))/6, AK$24-$I99 =8, (7-(AK$24-2-$I99))/6*2/3, AK$24-$I99 =9, (7-(AK$24-3-$I99))/6*1/3, TRUE, 0) *
IF(ISNUMBER(SEARCH("Ordinance",$L99)),7/6,1) *
IF(OR(ISNUMBER(SEARCH("Melee",$L99)),ISNUMBER(SEARCH("Bypass",$L99))),1.5,1)</f>
        <v>1.5555555555555556</v>
      </c>
      <c r="AL99" s="17" cm="1">
        <f t="array" ref="AL99">$H99 *
IF(ISNUMBER(SEARCH("Rapid",$L99)),7/6,1) *
IF(OR(ISNUMBER(SEARCH("Beam",$L99)),ISNUMBER(SEARCH("Firestorm",$L99))),1, IF(ISNUMBER(SEARCH("Blast",$L99)),(4+$G99+(2-$G99)*0.5)/6*2,(4+$G99)/6)) *
_xlfn.IFS(AL$24-$I99 &lt;=1, 5/6, AL$24-$I99 &lt;=5, (7-(AL$24-$I99))/6, AND(AL$24-$I99 =6,NOT(_xlfn.IFNA(ISNUMBER(SEARCH("Rending",$L99)),FALSE))), (7-(AL$24-$I99))/6, AND(AL$24-$I99 &gt;=7,NOT(_xlfn.IFNA(ISNUMBER(SEARCH("Rending",$L99)),FALSE))), 0, AL$24-$I99 =7, (7-(AL$24-1-$I99))/6, AL$24-$I99 =8, (7-(AL$24-2-$I99))/6*2/3, AL$24-$I99 =9, (7-(AL$24-3-$I99))/6*1/3, TRUE, 0) *
IF(ISNUMBER(SEARCH("Ordinance",$L99)),7/6,1) *
IF(OR(ISNUMBER(SEARCH("Melee",$L99)),ISNUMBER(SEARCH("Bypass",$L99))),1.5,1)</f>
        <v>0</v>
      </c>
      <c r="AM99" s="17" cm="1">
        <f t="array" ref="AM99">$H99 *
IF(ISNUMBER(SEARCH("Rapid",$L99)),7/6,1) *
IF(OR(ISNUMBER(SEARCH("Beam",$L99)),ISNUMBER(SEARCH("Firestorm",$L99))),1, IF(ISNUMBER(SEARCH("Blast",$L99)),(4+$G99+(2-$G99)*0.5)/6*2,(4+$G99)/6)) *
_xlfn.IFS(AM$24-$I99 &lt;=1, 5/6, AM$24-$I99 &lt;=5, (7-(AM$24-$I99))/6, AND(AM$24-$I99 =6,NOT(_xlfn.IFNA(ISNUMBER(SEARCH("Rending",$L99)),FALSE))), (7-(AM$24-$I99))/6, AND(AM$24-$I99 &gt;=7,NOT(_xlfn.IFNA(ISNUMBER(SEARCH("Rending",$L99)),FALSE))), 0, AM$24-$I99 =7, (7-(AM$24-1-$I99))/6, AM$24-$I99 =8, (7-(AM$24-2-$I99))/6*2/3, AM$24-$I99 =9, (7-(AM$24-3-$I99))/6*1/3, TRUE, 0) *
IF(ISNUMBER(SEARCH("Ordinance",$L99)),7/6,1) *
IF(OR(ISNUMBER(SEARCH("Melee",$L99)),ISNUMBER(SEARCH("Bypass",$L99))),1.5,1)</f>
        <v>0</v>
      </c>
      <c r="AN99" s="17" cm="1">
        <f t="array" ref="AN99">$H99 *
IF(ISNUMBER(SEARCH("Rapid",$L99)),7/6,1) *
IF(OR(ISNUMBER(SEARCH("Beam",$L99)),ISNUMBER(SEARCH("Firestorm",$L99))),1, IF(ISNUMBER(SEARCH("Blast",$L99)),(4+$G99+(2-$G99)*0.5)/6*2,(4+$G99)/6)) *
_xlfn.IFS(AN$24-$I99 &lt;=1, 5/6, AN$24-$I99 &lt;=5, (7-(AN$24-$I99))/6, AND(AN$24-$I99 =6,NOT(_xlfn.IFNA(ISNUMBER(SEARCH("Rending",$L99)),FALSE))), (7-(AN$24-$I99))/6, AND(AN$24-$I99 &gt;=7,NOT(_xlfn.IFNA(ISNUMBER(SEARCH("Rending",$L99)),FALSE))), 0, AN$24-$I99 =7, (7-(AN$24-1-$I99))/6, AN$24-$I99 =8, (7-(AN$24-2-$I99))/6*2/3, AN$24-$I99 =9, (7-(AN$24-3-$I99))/6*1/3, TRUE, 0) *
IF(ISNUMBER(SEARCH("Ordinance",$L99)),7/6,1) *
IF(OR(ISNUMBER(SEARCH("Melee",$L99)),ISNUMBER(SEARCH("Bypass",$L99))),1.5,1)</f>
        <v>0</v>
      </c>
      <c r="AO99" s="17" cm="1">
        <f t="array" ref="AO99">$H99 *
IF(ISNUMBER(SEARCH("Rapid",$L99)),7/6,1) *
IF(OR(ISNUMBER(SEARCH("Beam",$L99)),ISNUMBER(SEARCH("Firestorm",$L99))),1, IF(ISNUMBER(SEARCH("Blast",$L99)),(4+$G99+(2-$G99)*0.5)/6*2,(4+$G99)/6)) *
_xlfn.IFS(AO$24-$I99 &lt;=1, 5/6, AO$24-$I99 &lt;=5, (7-(AO$24-$I99))/6, AND(AO$24-$I99 =6,NOT(_xlfn.IFNA(ISNUMBER(SEARCH("Rending",$L99)),FALSE))), (7-(AO$24-$I99))/6, AND(AO$24-$I99 &gt;=7,NOT(_xlfn.IFNA(ISNUMBER(SEARCH("Rending",$L99)),FALSE))), 0, AO$24-$I99 =7, (7-(AO$24-1-$I99))/6, AO$24-$I99 =8, (7-(AO$24-2-$I99))/6*2/3, AO$24-$I99 =9, (7-(AO$24-3-$I99))/6*1/3, TRUE, 0) *
IF(ISNUMBER(SEARCH("Ordinance",$L99)),7/6,1) *
IF(OR(ISNUMBER(SEARCH("Melee",$L99)),ISNUMBER(SEARCH("Bypass",$L99))),1.5,1)</f>
        <v>0</v>
      </c>
      <c r="AP99" s="17" cm="1">
        <f t="array" ref="AP99">$H99 *
IF(ISNUMBER(SEARCH("Rapid",$L99)),7/6,1) *
IF(OR(ISNUMBER(SEARCH("Beam",$L99)),ISNUMBER(SEARCH("Firestorm",$L99))),1, IF(ISNUMBER(SEARCH("Blast",$L99)),(4+$G99+(2-$G99)*0.5)/6*2,(4+$G99)/6)) *
_xlfn.IFS(AP$24-$I99 &lt;=1, 5/6, AP$24-$I99 &lt;=5, (7-(AP$24-$I99))/6, AND(AP$24-$I99 =6,NOT(_xlfn.IFNA(ISNUMBER(SEARCH("Rending",$L99)),FALSE))), (7-(AP$24-$I99))/6, AND(AP$24-$I99 &gt;=7,NOT(_xlfn.IFNA(ISNUMBER(SEARCH("Rending",$L99)),FALSE))), 0, AP$24-$I99 =7, (7-(AP$24-1-$I99))/6, AP$24-$I99 =8, (7-(AP$24-2-$I99))/6*2/3, AP$24-$I99 =9, (7-(AP$24-3-$I99))/6*1/3, TRUE, 0) *
IF(ISNUMBER(SEARCH("Ordinance",$L99)),7/6,1) *
IF(OR(ISNUMBER(SEARCH("Melee",$L99)),ISNUMBER(SEARCH("Bypass",$L99))),1.5,1)</f>
        <v>0</v>
      </c>
      <c r="AQ99" s="17" cm="1">
        <f t="array" ref="AQ99">$H99 *
IF(ISNUMBER(SEARCH("Rapid",$L99)),7/6,1) *
IF(OR(ISNUMBER(SEARCH("Beam",$L99)),ISNUMBER(SEARCH("Firestorm",$L99))),1, IF(ISNUMBER(SEARCH("Blast",$L99)),(4+$G99+(2-$G99)*0.5)/6*2,(4+$G99)/6)) *
_xlfn.IFS(AQ$24-$I99 &lt;=1, 5/6, AQ$24-$I99 &lt;=5, (7-(AQ$24-$I99))/6, AND(AQ$24-$I99 =6,NOT(_xlfn.IFNA(ISNUMBER(SEARCH("Rending",$L99)),FALSE))), (7-(AQ$24-$I99))/6, AND(AQ$24-$I99 &gt;=7,NOT(_xlfn.IFNA(ISNUMBER(SEARCH("Rending",$L99)),FALSE))), 0, AQ$24-$I99 =7, (7-(AQ$24-1-$I99))/6, AQ$24-$I99 =8, (7-(AQ$24-2-$I99))/6*2/3, AQ$24-$I99 =9, (7-(AQ$24-3-$I99))/6*1/3, TRUE, 0) *
IF(ISNUMBER(SEARCH("Ordinance",$L99)),7/6,1) *
IF(OR(ISNUMBER(SEARCH("Melee",$L99)),ISNUMBER(SEARCH("Bypass",$L99))),1.5,1)</f>
        <v>0</v>
      </c>
      <c r="AS99" s="16">
        <f t="shared" si="26"/>
        <v>1.7777777777777777</v>
      </c>
      <c r="AT99" s="16">
        <f t="shared" si="27"/>
        <v>2.6666666666666665</v>
      </c>
      <c r="AU99" s="16">
        <f t="shared" si="28"/>
        <v>2.4111111111111114</v>
      </c>
      <c r="AV99" s="2">
        <v>9</v>
      </c>
    </row>
    <row r="100" spans="1:48" x14ac:dyDescent="0.3">
      <c r="A100" t="s">
        <v>279</v>
      </c>
      <c r="B100" s="3">
        <v>8</v>
      </c>
      <c r="C100" s="3">
        <v>24</v>
      </c>
      <c r="E100" s="3">
        <v>2</v>
      </c>
      <c r="F100" s="10">
        <v>1</v>
      </c>
      <c r="G100" s="10">
        <v>0</v>
      </c>
      <c r="H100" s="3">
        <v>12</v>
      </c>
      <c r="I100" s="3">
        <v>5</v>
      </c>
      <c r="J100" s="3" t="s">
        <v>254</v>
      </c>
      <c r="K100" s="3">
        <v>55</v>
      </c>
      <c r="L100" s="3" t="s">
        <v>256</v>
      </c>
      <c r="M100" s="3" t="s">
        <v>199</v>
      </c>
      <c r="N100" s="3">
        <v>11</v>
      </c>
      <c r="O100" s="3">
        <v>11</v>
      </c>
      <c r="P100" s="3">
        <v>15</v>
      </c>
      <c r="Q100" s="3" t="s">
        <v>200</v>
      </c>
      <c r="R100" s="3">
        <v>7</v>
      </c>
      <c r="S100" s="3">
        <v>9</v>
      </c>
      <c r="T100" s="3">
        <v>3</v>
      </c>
      <c r="U100" t="s">
        <v>268</v>
      </c>
      <c r="V100" s="16">
        <f t="shared" si="20"/>
        <v>3.333333333333333</v>
      </c>
      <c r="W100" s="16">
        <f t="shared" si="21"/>
        <v>5</v>
      </c>
      <c r="X100" s="17" cm="1">
        <f t="array" ref="X100">$H100 *
IF(ISNUMBER(SEARCH("Rapid",$L100)),7/6,1) *
IF(OR(ISNUMBER(SEARCH("Beam",$L100)),ISNUMBER(SEARCH("Firestorm",$L100))),1, IF(ISNUMBER(SEARCH("Blast",$L100)),(4+$F100+(2-$F100)*0.5)/6*2,(4+$F100)/6)) *
IF(ISNUMBER(SEARCH("Fusion",$L100)), _xlfn.IFS(X$24-$I100 &lt;=1, 9/10, X$24-$I100 &lt;=10,(11-(X$24-$I100))/10, X$24-$I100 &gt;=11, 0),
_xlfn.IFS(X$24-$I100 &lt;=1, 5/6, X$24-$I100 &lt;=5, (7-(X$24-$I100))/6, AND(X$24-$I100 =6,NOT(_xlfn.IFNA(ISNUMBER(SEARCH("Rending",$L100)),FALSE))), (7-(X$24-$I100))/6, AND(X$24-$I100 &gt;=7,NOT(_xlfn.IFNA(ISNUMBER(SEARCH("Rending",$L100)),FALSE))), 0, X$24-$I100 =7, (7-(X$24-1-$I100))/6, X$24-$I100 =8, (7-(X$24-2-$I100))/6*2/3, X$24-$I100 =9, (7-(X$24-3-$I100))/6*1/3, TRUE, 0)) *
IF(ISNUMBER(SEARCH("Ordinance",$L100)),7/6,1) *
IF(OR(ISNUMBER(SEARCH("Melee",$L100)),ISNUMBER(SEARCH("Bypass",$L100))),1.5,1)</f>
        <v>5.8333333333333339</v>
      </c>
      <c r="Y100" s="17" cm="1">
        <f t="array" ref="Y100">$H100 *
IF(ISNUMBER(SEARCH("Rapid",$L100)),7/6,1) *
IF(OR(ISNUMBER(SEARCH("Beam",$L100)),ISNUMBER(SEARCH("Firestorm",$L100))),1, IF(ISNUMBER(SEARCH("Blast",$L100)),(4+$F100+(2-$F100)*0.5)/6*2,(4+$F100)/6)) *
IF(ISNUMBER(SEARCH("Fusion",$L100)), _xlfn.IFS(Y$24-$I100 &lt;=1, 9/10, Y$24-$I100 &lt;=10,(11-(Y$24-$I100))/10, Y$24-$I100 &gt;=11, 0),
_xlfn.IFS(Y$24-$I100 &lt;=1, 5/6, Y$24-$I100 &lt;=5, (7-(Y$24-$I100))/6, AND(Y$24-$I100 =6,NOT(_xlfn.IFNA(ISNUMBER(SEARCH("Rending",$L100)),FALSE))), (7-(Y$24-$I100))/6, AND(Y$24-$I100 &gt;=7,NOT(_xlfn.IFNA(ISNUMBER(SEARCH("Rending",$L100)),FALSE))), 0, Y$24-$I100 =7, (7-(Y$24-1-$I100))/6, Y$24-$I100 =8, (7-(Y$24-2-$I100))/6*2/3, Y$24-$I100 =9, (7-(Y$24-3-$I100))/6*1/3, TRUE, 0)) *
IF(ISNUMBER(SEARCH("Ordinance",$L100)),7/6,1) *
IF(OR(ISNUMBER(SEARCH("Melee",$L100)),ISNUMBER(SEARCH("Bypass",$L100))),1.5,1)</f>
        <v>3.8888888888888888</v>
      </c>
      <c r="Z100" s="17" cm="1">
        <f t="array" ref="Z100">$H100 *
IF(ISNUMBER(SEARCH("Rapid",$L100)),7/6,1) *
IF(OR(ISNUMBER(SEARCH("Beam",$L100)),ISNUMBER(SEARCH("Firestorm",$L100))),1, IF(ISNUMBER(SEARCH("Blast",$L100)),(4+$F100+(2-$F100)*0.5)/6*2,(4+$F100)/6)) *
IF(ISNUMBER(SEARCH("Fusion",$L100)), _xlfn.IFS(Z$24-$I100 &lt;=1, 9/10, Z$24-$I100 &lt;=10,(11-(Z$24-$I100))/10, Z$24-$I100 &gt;=11, 0),
_xlfn.IFS(Z$24-$I100 &lt;=1, 5/6, Z$24-$I100 &lt;=5, (7-(Z$24-$I100))/6, AND(Z$24-$I100 =6,NOT(_xlfn.IFNA(ISNUMBER(SEARCH("Rending",$L100)),FALSE))), (7-(Z$24-$I100))/6, AND(Z$24-$I100 &gt;=7,NOT(_xlfn.IFNA(ISNUMBER(SEARCH("Rending",$L100)),FALSE))), 0, Z$24-$I100 =7, (7-(Z$24-1-$I100))/6, Z$24-$I100 =8, (7-(Z$24-2-$I100))/6*2/3, Z$24-$I100 =9, (7-(Z$24-3-$I100))/6*1/3, TRUE, 0)) *
IF(ISNUMBER(SEARCH("Ordinance",$L100)),7/6,1) *
IF(OR(ISNUMBER(SEARCH("Melee",$L100)),ISNUMBER(SEARCH("Bypass",$L100))),1.5,1)</f>
        <v>1.9444444444444444</v>
      </c>
      <c r="AA100" s="17" cm="1">
        <f t="array" ref="AA100">$H100 *
IF(ISNUMBER(SEARCH("Rapid",$L100)),7/6,1) *
IF(OR(ISNUMBER(SEARCH("Beam",$L100)),ISNUMBER(SEARCH("Firestorm",$L100))),1, IF(ISNUMBER(SEARCH("Blast",$L100)),(4+$F100+(2-$F100)*0.5)/6*2,(4+$F100)/6)) *
IF(ISNUMBER(SEARCH("Fusion",$L100)), _xlfn.IFS(AA$24-$I100 &lt;=1, 9/10, AA$24-$I100 &lt;=10,(11-(AA$24-$I100))/10, AA$24-$I100 &gt;=11, 0),
_xlfn.IFS(AA$24-$I100 &lt;=1, 5/6, AA$24-$I100 &lt;=5, (7-(AA$24-$I100))/6, AND(AA$24-$I100 =6,NOT(_xlfn.IFNA(ISNUMBER(SEARCH("Rending",$L100)),FALSE))), (7-(AA$24-$I100))/6, AND(AA$24-$I100 &gt;=7,NOT(_xlfn.IFNA(ISNUMBER(SEARCH("Rending",$L100)),FALSE))), 0, AA$24-$I100 =7, (7-(AA$24-1-$I100))/6, AA$24-$I100 =8, (7-(AA$24-2-$I100))/6*2/3, AA$24-$I100 =9, (7-(AA$24-3-$I100))/6*1/3, TRUE, 0)) *
IF(ISNUMBER(SEARCH("Ordinance",$L100)),7/6,1) *
IF(OR(ISNUMBER(SEARCH("Melee",$L100)),ISNUMBER(SEARCH("Bypass",$L100))),1.5,1)</f>
        <v>0</v>
      </c>
      <c r="AB100" s="17" cm="1">
        <f t="array" ref="AB100">$H100 *
IF(ISNUMBER(SEARCH("Rapid",$L100)),7/6,1) *
IF(OR(ISNUMBER(SEARCH("Beam",$L100)),ISNUMBER(SEARCH("Firestorm",$L100))),1, IF(ISNUMBER(SEARCH("Blast",$L100)),(4+$F100+(2-$F100)*0.5)/6*2,(4+$F100)/6)) *
IF(ISNUMBER(SEARCH("Fusion",$L100)), _xlfn.IFS(AB$24-$I100 &lt;=1, 9/10, AB$24-$I100 &lt;=10,(11-(AB$24-$I100))/10, AB$24-$I100 &gt;=11, 0),
_xlfn.IFS(AB$24-$I100 &lt;=1, 5/6, AB$24-$I100 &lt;=5, (7-(AB$24-$I100))/6, AND(AB$24-$I100 =6,NOT(_xlfn.IFNA(ISNUMBER(SEARCH("Rending",$L100)),FALSE))), (7-(AB$24-$I100))/6, AND(AB$24-$I100 &gt;=7,NOT(_xlfn.IFNA(ISNUMBER(SEARCH("Rending",$L100)),FALSE))), 0, AB$24-$I100 =7, (7-(AB$24-1-$I100))/6, AB$24-$I100 =8, (7-(AB$24-2-$I100))/6*2/3, AB$24-$I100 =9, (7-(AB$24-3-$I100))/6*1/3, TRUE, 0)) *
IF(ISNUMBER(SEARCH("Ordinance",$L100)),7/6,1) *
IF(OR(ISNUMBER(SEARCH("Melee",$L100)),ISNUMBER(SEARCH("Bypass",$L100))),1.5,1)</f>
        <v>0</v>
      </c>
      <c r="AC100" s="17" cm="1">
        <f t="array" ref="AC100">$H100 *
IF(ISNUMBER(SEARCH("Rapid",$L100)),7/6,1) *
IF(OR(ISNUMBER(SEARCH("Beam",$L100)),ISNUMBER(SEARCH("Firestorm",$L100))),1, IF(ISNUMBER(SEARCH("Blast",$L100)),(4+$F100+(2-$F100)*0.5)/6*2,(4+$F100)/6)) *
IF(ISNUMBER(SEARCH("Fusion",$L100)), _xlfn.IFS(AC$24-$I100 &lt;=1, 9/10, AC$24-$I100 &lt;=10,(11-(AC$24-$I100))/10, AC$24-$I100 &gt;=11, 0),
_xlfn.IFS(AC$24-$I100 &lt;=1, 5/6, AC$24-$I100 &lt;=5, (7-(AC$24-$I100))/6, AND(AC$24-$I100 =6,NOT(_xlfn.IFNA(ISNUMBER(SEARCH("Rending",$L100)),FALSE))), (7-(AC$24-$I100))/6, AND(AC$24-$I100 &gt;=7,NOT(_xlfn.IFNA(ISNUMBER(SEARCH("Rending",$L100)),FALSE))), 0, AC$24-$I100 =7, (7-(AC$24-1-$I100))/6, AC$24-$I100 =8, (7-(AC$24-2-$I100))/6*2/3, AC$24-$I100 =9, (7-(AC$24-3-$I100))/6*1/3, TRUE, 0)) *
IF(ISNUMBER(SEARCH("Ordinance",$L100)),7/6,1) *
IF(OR(ISNUMBER(SEARCH("Melee",$L100)),ISNUMBER(SEARCH("Bypass",$L100))),1.5,1)</f>
        <v>0</v>
      </c>
      <c r="AD100" s="17" cm="1">
        <f t="array" ref="AD100">$H100 *
IF(ISNUMBER(SEARCH("Rapid",$L100)),7/6,1) *
IF(OR(ISNUMBER(SEARCH("Beam",$L100)),ISNUMBER(SEARCH("Firestorm",$L100))),1, IF(ISNUMBER(SEARCH("Blast",$L100)),(4+$F100+(2-$F100)*0.5)/6*2,(4+$F100)/6)) *
IF(ISNUMBER(SEARCH("Fusion",$L100)), _xlfn.IFS(AD$24-$I100 &lt;=1, 9/10, AD$24-$I100 &lt;=10,(11-(AD$24-$I100))/10, AD$24-$I100 &gt;=11, 0),
_xlfn.IFS(AD$24-$I100 &lt;=1, 5/6, AD$24-$I100 &lt;=5, (7-(AD$24-$I100))/6, AND(AD$24-$I100 =6,NOT(_xlfn.IFNA(ISNUMBER(SEARCH("Rending",$L100)),FALSE))), (7-(AD$24-$I100))/6, AND(AD$24-$I100 &gt;=7,NOT(_xlfn.IFNA(ISNUMBER(SEARCH("Rending",$L100)),FALSE))), 0, AD$24-$I100 =7, (7-(AD$24-1-$I100))/6, AD$24-$I100 =8, (7-(AD$24-2-$I100))/6*2/3, AD$24-$I100 =9, (7-(AD$24-3-$I100))/6*1/3, TRUE, 0)) *
IF(ISNUMBER(SEARCH("Ordinance",$L100)),7/6,1) *
IF(OR(ISNUMBER(SEARCH("Melee",$L100)),ISNUMBER(SEARCH("Bypass",$L100))),1.5,1)</f>
        <v>0</v>
      </c>
      <c r="AE100" s="17" cm="1">
        <f t="array" ref="AE100">$H100 *
IF(ISNUMBER(SEARCH("Rapid",$L100)),7/6,1) *
IF(OR(ISNUMBER(SEARCH("Beam",$L100)),ISNUMBER(SEARCH("Firestorm",$L100))),1, IF(ISNUMBER(SEARCH("Blast",$L100)),(4+$F100+(2-$F100)*0.5)/6*2,(4+$F100)/6)) *
IF(ISNUMBER(SEARCH("Fusion",$L100)), _xlfn.IFS(AE$24-$I100 &lt;=1, 9/10, AE$24-$I100 &lt;=10,(11-(AE$24-$I100))/10, AE$24-$I100 &gt;=11, 0),
_xlfn.IFS(AE$24-$I100 &lt;=1, 5/6, AE$24-$I100 &lt;=5, (7-(AE$24-$I100))/6, AND(AE$24-$I100 =6,NOT(_xlfn.IFNA(ISNUMBER(SEARCH("Rending",$L100)),FALSE))), (7-(AE$24-$I100))/6, AND(AE$24-$I100 &gt;=7,NOT(_xlfn.IFNA(ISNUMBER(SEARCH("Rending",$L100)),FALSE))), 0, AE$24-$I100 =7, (7-(AE$24-1-$I100))/6, AE$24-$I100 =8, (7-(AE$24-2-$I100))/6*2/3, AE$24-$I100 =9, (7-(AE$24-3-$I100))/6*1/3, TRUE, 0)) *
IF(ISNUMBER(SEARCH("Ordinance",$L100)),7/6,1) *
IF(OR(ISNUMBER(SEARCH("Melee",$L100)),ISNUMBER(SEARCH("Bypass",$L100))),1.5,1)</f>
        <v>0</v>
      </c>
      <c r="AF100" s="17" cm="1">
        <f t="array" ref="AF100">$H100 *
IF(ISNUMBER(SEARCH("Rapid",$L100)),7/6,1) *
IF(OR(ISNUMBER(SEARCH("Beam",$L100)),ISNUMBER(SEARCH("Firestorm",$L100))),1, IF(ISNUMBER(SEARCH("Blast",$L100)),(4+$F100+(2-$F100)*0.5)/6*2,(4+$F100)/6)) *
IF(ISNUMBER(SEARCH("Fusion",$L100)), _xlfn.IFS(AF$24-$I100 &lt;=1, 9/10, AF$24-$I100 &lt;=10,(11-(AF$24-$I100))/10, AF$24-$I100 &gt;=11, 0),
_xlfn.IFS(AF$24-$I100 &lt;=1, 5/6, AF$24-$I100 &lt;=5, (7-(AF$24-$I100))/6, AND(AF$24-$I100 =6,NOT(_xlfn.IFNA(ISNUMBER(SEARCH("Rending",$L100)),FALSE))), (7-(AF$24-$I100))/6, AND(AF$24-$I100 &gt;=7,NOT(_xlfn.IFNA(ISNUMBER(SEARCH("Rending",$L100)),FALSE))), 0, AF$24-$I100 =7, (7-(AF$24-1-$I100))/6, AF$24-$I100 =8, (7-(AF$24-2-$I100))/6*2/3, AF$24-$I100 =9, (7-(AF$24-3-$I100))/6*1/3, TRUE, 0)) *
IF(ISNUMBER(SEARCH("Ordinance",$L100)),7/6,1) *
IF(OR(ISNUMBER(SEARCH("Melee",$L100)),ISNUMBER(SEARCH("Bypass",$L100))),1.5,1)</f>
        <v>0</v>
      </c>
      <c r="AG100" s="16">
        <f t="shared" si="22"/>
        <v>2.6666666666666665</v>
      </c>
      <c r="AH100" s="16">
        <f t="shared" si="23"/>
        <v>4</v>
      </c>
      <c r="AI100" s="17" cm="1">
        <f t="array" ref="AI100">$H100 *
IF(ISNUMBER(SEARCH("Rapid",$L100)),7/6,1) *
IF(OR(ISNUMBER(SEARCH("Beam",$L100)),ISNUMBER(SEARCH("Firestorm",$L100))),1, IF(ISNUMBER(SEARCH("Blast",$L100)),(4+$G100+(2-$G100)*0.5)/6*2,(4+$G100)/6)) *
_xlfn.IFS(AI$24-$I100 &lt;=1, 5/6, AI$24-$I100 &lt;=5, (7-(AI$24-$I100))/6, AND(AI$24-$I100 =6,NOT(_xlfn.IFNA(ISNUMBER(SEARCH("Rending",$L100)),FALSE))), (7-(AI$24-$I100))/6, AND(AI$24-$I100 &gt;=7,NOT(_xlfn.IFNA(ISNUMBER(SEARCH("Rending",$L100)),FALSE))), 0, AI$24-$I100 =7, (7-(AI$24-1-$I100))/6, AI$24-$I100 =8, (7-(AI$24-2-$I100))/6*2/3, AI$24-$I100 =9, (7-(AI$24-3-$I100))/6*1/3, TRUE, 0) *
IF(ISNUMBER(SEARCH("Ordinance",$L100)),7/6,1) *
IF(OR(ISNUMBER(SEARCH("Melee",$L100)),ISNUMBER(SEARCH("Bypass",$L100))),1.5,1)</f>
        <v>4.666666666666667</v>
      </c>
      <c r="AJ100" s="17" cm="1">
        <f t="array" ref="AJ100">$H100 *
IF(ISNUMBER(SEARCH("Rapid",$L100)),7/6,1) *
IF(OR(ISNUMBER(SEARCH("Beam",$L100)),ISNUMBER(SEARCH("Firestorm",$L100))),1, IF(ISNUMBER(SEARCH("Blast",$L100)),(4+$G100+(2-$G100)*0.5)/6*2,(4+$G100)/6)) *
_xlfn.IFS(AJ$24-$I100 &lt;=1, 5/6, AJ$24-$I100 &lt;=5, (7-(AJ$24-$I100))/6, AND(AJ$24-$I100 =6,NOT(_xlfn.IFNA(ISNUMBER(SEARCH("Rending",$L100)),FALSE))), (7-(AJ$24-$I100))/6, AND(AJ$24-$I100 &gt;=7,NOT(_xlfn.IFNA(ISNUMBER(SEARCH("Rending",$L100)),FALSE))), 0, AJ$24-$I100 =7, (7-(AJ$24-1-$I100))/6, AJ$24-$I100 =8, (7-(AJ$24-2-$I100))/6*2/3, AJ$24-$I100 =9, (7-(AJ$24-3-$I100))/6*1/3, TRUE, 0) *
IF(ISNUMBER(SEARCH("Ordinance",$L100)),7/6,1) *
IF(OR(ISNUMBER(SEARCH("Melee",$L100)),ISNUMBER(SEARCH("Bypass",$L100))),1.5,1)</f>
        <v>3.1111111111111112</v>
      </c>
      <c r="AK100" s="17" cm="1">
        <f t="array" ref="AK100">$H100 *
IF(ISNUMBER(SEARCH("Rapid",$L100)),7/6,1) *
IF(OR(ISNUMBER(SEARCH("Beam",$L100)),ISNUMBER(SEARCH("Firestorm",$L100))),1, IF(ISNUMBER(SEARCH("Blast",$L100)),(4+$G100+(2-$G100)*0.5)/6*2,(4+$G100)/6)) *
_xlfn.IFS(AK$24-$I100 &lt;=1, 5/6, AK$24-$I100 &lt;=5, (7-(AK$24-$I100))/6, AND(AK$24-$I100 =6,NOT(_xlfn.IFNA(ISNUMBER(SEARCH("Rending",$L100)),FALSE))), (7-(AK$24-$I100))/6, AND(AK$24-$I100 &gt;=7,NOT(_xlfn.IFNA(ISNUMBER(SEARCH("Rending",$L100)),FALSE))), 0, AK$24-$I100 =7, (7-(AK$24-1-$I100))/6, AK$24-$I100 =8, (7-(AK$24-2-$I100))/6*2/3, AK$24-$I100 =9, (7-(AK$24-3-$I100))/6*1/3, TRUE, 0) *
IF(ISNUMBER(SEARCH("Ordinance",$L100)),7/6,1) *
IF(OR(ISNUMBER(SEARCH("Melee",$L100)),ISNUMBER(SEARCH("Bypass",$L100))),1.5,1)</f>
        <v>1.5555555555555556</v>
      </c>
      <c r="AL100" s="17" cm="1">
        <f t="array" ref="AL100">$H100 *
IF(ISNUMBER(SEARCH("Rapid",$L100)),7/6,1) *
IF(OR(ISNUMBER(SEARCH("Beam",$L100)),ISNUMBER(SEARCH("Firestorm",$L100))),1, IF(ISNUMBER(SEARCH("Blast",$L100)),(4+$G100+(2-$G100)*0.5)/6*2,(4+$G100)/6)) *
_xlfn.IFS(AL$24-$I100 &lt;=1, 5/6, AL$24-$I100 &lt;=5, (7-(AL$24-$I100))/6, AND(AL$24-$I100 =6,NOT(_xlfn.IFNA(ISNUMBER(SEARCH("Rending",$L100)),FALSE))), (7-(AL$24-$I100))/6, AND(AL$24-$I100 &gt;=7,NOT(_xlfn.IFNA(ISNUMBER(SEARCH("Rending",$L100)),FALSE))), 0, AL$24-$I100 =7, (7-(AL$24-1-$I100))/6, AL$24-$I100 =8, (7-(AL$24-2-$I100))/6*2/3, AL$24-$I100 =9, (7-(AL$24-3-$I100))/6*1/3, TRUE, 0) *
IF(ISNUMBER(SEARCH("Ordinance",$L100)),7/6,1) *
IF(OR(ISNUMBER(SEARCH("Melee",$L100)),ISNUMBER(SEARCH("Bypass",$L100))),1.5,1)</f>
        <v>0</v>
      </c>
      <c r="AM100" s="17" cm="1">
        <f t="array" ref="AM100">$H100 *
IF(ISNUMBER(SEARCH("Rapid",$L100)),7/6,1) *
IF(OR(ISNUMBER(SEARCH("Beam",$L100)),ISNUMBER(SEARCH("Firestorm",$L100))),1, IF(ISNUMBER(SEARCH("Blast",$L100)),(4+$G100+(2-$G100)*0.5)/6*2,(4+$G100)/6)) *
_xlfn.IFS(AM$24-$I100 &lt;=1, 5/6, AM$24-$I100 &lt;=5, (7-(AM$24-$I100))/6, AND(AM$24-$I100 =6,NOT(_xlfn.IFNA(ISNUMBER(SEARCH("Rending",$L100)),FALSE))), (7-(AM$24-$I100))/6, AND(AM$24-$I100 &gt;=7,NOT(_xlfn.IFNA(ISNUMBER(SEARCH("Rending",$L100)),FALSE))), 0, AM$24-$I100 =7, (7-(AM$24-1-$I100))/6, AM$24-$I100 =8, (7-(AM$24-2-$I100))/6*2/3, AM$24-$I100 =9, (7-(AM$24-3-$I100))/6*1/3, TRUE, 0) *
IF(ISNUMBER(SEARCH("Ordinance",$L100)),7/6,1) *
IF(OR(ISNUMBER(SEARCH("Melee",$L100)),ISNUMBER(SEARCH("Bypass",$L100))),1.5,1)</f>
        <v>0</v>
      </c>
      <c r="AN100" s="17" cm="1">
        <f t="array" ref="AN100">$H100 *
IF(ISNUMBER(SEARCH("Rapid",$L100)),7/6,1) *
IF(OR(ISNUMBER(SEARCH("Beam",$L100)),ISNUMBER(SEARCH("Firestorm",$L100))),1, IF(ISNUMBER(SEARCH("Blast",$L100)),(4+$G100+(2-$G100)*0.5)/6*2,(4+$G100)/6)) *
_xlfn.IFS(AN$24-$I100 &lt;=1, 5/6, AN$24-$I100 &lt;=5, (7-(AN$24-$I100))/6, AND(AN$24-$I100 =6,NOT(_xlfn.IFNA(ISNUMBER(SEARCH("Rending",$L100)),FALSE))), (7-(AN$24-$I100))/6, AND(AN$24-$I100 &gt;=7,NOT(_xlfn.IFNA(ISNUMBER(SEARCH("Rending",$L100)),FALSE))), 0, AN$24-$I100 =7, (7-(AN$24-1-$I100))/6, AN$24-$I100 =8, (7-(AN$24-2-$I100))/6*2/3, AN$24-$I100 =9, (7-(AN$24-3-$I100))/6*1/3, TRUE, 0) *
IF(ISNUMBER(SEARCH("Ordinance",$L100)),7/6,1) *
IF(OR(ISNUMBER(SEARCH("Melee",$L100)),ISNUMBER(SEARCH("Bypass",$L100))),1.5,1)</f>
        <v>0</v>
      </c>
      <c r="AO100" s="17" cm="1">
        <f t="array" ref="AO100">$H100 *
IF(ISNUMBER(SEARCH("Rapid",$L100)),7/6,1) *
IF(OR(ISNUMBER(SEARCH("Beam",$L100)),ISNUMBER(SEARCH("Firestorm",$L100))),1, IF(ISNUMBER(SEARCH("Blast",$L100)),(4+$G100+(2-$G100)*0.5)/6*2,(4+$G100)/6)) *
_xlfn.IFS(AO$24-$I100 &lt;=1, 5/6, AO$24-$I100 &lt;=5, (7-(AO$24-$I100))/6, AND(AO$24-$I100 =6,NOT(_xlfn.IFNA(ISNUMBER(SEARCH("Rending",$L100)),FALSE))), (7-(AO$24-$I100))/6, AND(AO$24-$I100 &gt;=7,NOT(_xlfn.IFNA(ISNUMBER(SEARCH("Rending",$L100)),FALSE))), 0, AO$24-$I100 =7, (7-(AO$24-1-$I100))/6, AO$24-$I100 =8, (7-(AO$24-2-$I100))/6*2/3, AO$24-$I100 =9, (7-(AO$24-3-$I100))/6*1/3, TRUE, 0) *
IF(ISNUMBER(SEARCH("Ordinance",$L100)),7/6,1) *
IF(OR(ISNUMBER(SEARCH("Melee",$L100)),ISNUMBER(SEARCH("Bypass",$L100))),1.5,1)</f>
        <v>0</v>
      </c>
      <c r="AP100" s="17" cm="1">
        <f t="array" ref="AP100">$H100 *
IF(ISNUMBER(SEARCH("Rapid",$L100)),7/6,1) *
IF(OR(ISNUMBER(SEARCH("Beam",$L100)),ISNUMBER(SEARCH("Firestorm",$L100))),1, IF(ISNUMBER(SEARCH("Blast",$L100)),(4+$G100+(2-$G100)*0.5)/6*2,(4+$G100)/6)) *
_xlfn.IFS(AP$24-$I100 &lt;=1, 5/6, AP$24-$I100 &lt;=5, (7-(AP$24-$I100))/6, AND(AP$24-$I100 =6,NOT(_xlfn.IFNA(ISNUMBER(SEARCH("Rending",$L100)),FALSE))), (7-(AP$24-$I100))/6, AND(AP$24-$I100 &gt;=7,NOT(_xlfn.IFNA(ISNUMBER(SEARCH("Rending",$L100)),FALSE))), 0, AP$24-$I100 =7, (7-(AP$24-1-$I100))/6, AP$24-$I100 =8, (7-(AP$24-2-$I100))/6*2/3, AP$24-$I100 =9, (7-(AP$24-3-$I100))/6*1/3, TRUE, 0) *
IF(ISNUMBER(SEARCH("Ordinance",$L100)),7/6,1) *
IF(OR(ISNUMBER(SEARCH("Melee",$L100)),ISNUMBER(SEARCH("Bypass",$L100))),1.5,1)</f>
        <v>0</v>
      </c>
      <c r="AQ100" s="17" cm="1">
        <f t="array" ref="AQ100">$H100 *
IF(ISNUMBER(SEARCH("Rapid",$L100)),7/6,1) *
IF(OR(ISNUMBER(SEARCH("Beam",$L100)),ISNUMBER(SEARCH("Firestorm",$L100))),1, IF(ISNUMBER(SEARCH("Blast",$L100)),(4+$G100+(2-$G100)*0.5)/6*2,(4+$G100)/6)) *
_xlfn.IFS(AQ$24-$I100 &lt;=1, 5/6, AQ$24-$I100 &lt;=5, (7-(AQ$24-$I100))/6, AND(AQ$24-$I100 =6,NOT(_xlfn.IFNA(ISNUMBER(SEARCH("Rending",$L100)),FALSE))), (7-(AQ$24-$I100))/6, AND(AQ$24-$I100 &gt;=7,NOT(_xlfn.IFNA(ISNUMBER(SEARCH("Rending",$L100)),FALSE))), 0, AQ$24-$I100 =7, (7-(AQ$24-1-$I100))/6, AQ$24-$I100 =8, (7-(AQ$24-2-$I100))/6*2/3, AQ$24-$I100 =9, (7-(AQ$24-3-$I100))/6*1/3, TRUE, 0) *
IF(ISNUMBER(SEARCH("Ordinance",$L100)),7/6,1) *
IF(OR(ISNUMBER(SEARCH("Melee",$L100)),ISNUMBER(SEARCH("Bypass",$L100))),1.5,1)</f>
        <v>0</v>
      </c>
      <c r="AS100" s="16">
        <f t="shared" si="26"/>
        <v>1.7777777777777777</v>
      </c>
      <c r="AT100" s="16">
        <f t="shared" si="27"/>
        <v>2.6666666666666665</v>
      </c>
      <c r="AU100" s="16">
        <f t="shared" si="28"/>
        <v>2.4111111111111114</v>
      </c>
      <c r="AV100" s="2">
        <v>9</v>
      </c>
    </row>
    <row r="101" spans="1:48" x14ac:dyDescent="0.3">
      <c r="A101" t="s">
        <v>244</v>
      </c>
      <c r="B101" s="3">
        <v>16</v>
      </c>
      <c r="C101" s="3">
        <v>32</v>
      </c>
      <c r="D101" s="3">
        <v>1</v>
      </c>
      <c r="E101" s="3">
        <v>2</v>
      </c>
      <c r="F101" s="10">
        <v>0</v>
      </c>
      <c r="G101" s="10">
        <v>-1</v>
      </c>
      <c r="H101" s="3">
        <v>6</v>
      </c>
      <c r="I101" s="3">
        <v>8</v>
      </c>
      <c r="J101" s="3" t="s">
        <v>254</v>
      </c>
      <c r="K101" s="3">
        <v>50</v>
      </c>
      <c r="L101" s="3" t="s">
        <v>255</v>
      </c>
      <c r="M101" s="3" t="s">
        <v>236</v>
      </c>
      <c r="N101" s="3">
        <v>11</v>
      </c>
      <c r="O101" s="3">
        <v>11</v>
      </c>
      <c r="P101" s="3">
        <v>15</v>
      </c>
      <c r="Q101" s="3" t="s">
        <v>200</v>
      </c>
      <c r="R101" s="3">
        <v>7</v>
      </c>
      <c r="S101" s="3">
        <v>9</v>
      </c>
      <c r="T101" s="3">
        <v>4</v>
      </c>
      <c r="V101" s="16">
        <f t="shared" si="20"/>
        <v>2</v>
      </c>
      <c r="W101" s="16">
        <f t="shared" si="21"/>
        <v>2.6666666666666665</v>
      </c>
      <c r="X101" s="17" cm="1">
        <f t="array" ref="X101">$H101 *
IF(ISNUMBER(SEARCH("Rapid",$L101)),7/6,1) *
IF(OR(ISNUMBER(SEARCH("Beam",$L101)),ISNUMBER(SEARCH("Firestorm",$L101))),1, IF(ISNUMBER(SEARCH("Blast",$L101)),(4+$F101+(2-$F101)*0.5)/6*2,(4+$F101)/6)) *
IF(ISNUMBER(SEARCH("Fusion",$L101)), _xlfn.IFS(X$24-$I101 &lt;=1, 9/10, X$24-$I101 &lt;=10,(11-(X$24-$I101))/10, X$24-$I101 &gt;=11, 0),
_xlfn.IFS(X$24-$I101 &lt;=1, 5/6, X$24-$I101 &lt;=5, (7-(X$24-$I101))/6, AND(X$24-$I101 =6,NOT(_xlfn.IFNA(ISNUMBER(SEARCH("Rending",$L101)),FALSE))), (7-(X$24-$I101))/6, AND(X$24-$I101 &gt;=7,NOT(_xlfn.IFNA(ISNUMBER(SEARCH("Rending",$L101)),FALSE))), 0, X$24-$I101 =7, (7-(X$24-1-$I101))/6, X$24-$I101 =8, (7-(X$24-2-$I101))/6*2/3, X$24-$I101 =9, (7-(X$24-3-$I101))/6*1/3, TRUE, 0)) *
IF(ISNUMBER(SEARCH("Ordinance",$L101)),7/6,1) *
IF(OR(ISNUMBER(SEARCH("Melee",$L101)),ISNUMBER(SEARCH("Bypass",$L101))),1.5,1)</f>
        <v>3.3333333333333335</v>
      </c>
      <c r="Y101" s="17" cm="1">
        <f t="array" ref="Y101">$H101 *
IF(ISNUMBER(SEARCH("Rapid",$L101)),7/6,1) *
IF(OR(ISNUMBER(SEARCH("Beam",$L101)),ISNUMBER(SEARCH("Firestorm",$L101))),1, IF(ISNUMBER(SEARCH("Blast",$L101)),(4+$F101+(2-$F101)*0.5)/6*2,(4+$F101)/6)) *
IF(ISNUMBER(SEARCH("Fusion",$L101)), _xlfn.IFS(Y$24-$I101 &lt;=1, 9/10, Y$24-$I101 &lt;=10,(11-(Y$24-$I101))/10, Y$24-$I101 &gt;=11, 0),
_xlfn.IFS(Y$24-$I101 &lt;=1, 5/6, Y$24-$I101 &lt;=5, (7-(Y$24-$I101))/6, AND(Y$24-$I101 =6,NOT(_xlfn.IFNA(ISNUMBER(SEARCH("Rending",$L101)),FALSE))), (7-(Y$24-$I101))/6, AND(Y$24-$I101 &gt;=7,NOT(_xlfn.IFNA(ISNUMBER(SEARCH("Rending",$L101)),FALSE))), 0, Y$24-$I101 =7, (7-(Y$24-1-$I101))/6, Y$24-$I101 =8, (7-(Y$24-2-$I101))/6*2/3, Y$24-$I101 =9, (7-(Y$24-3-$I101))/6*1/3, TRUE, 0)) *
IF(ISNUMBER(SEARCH("Ordinance",$L101)),7/6,1) *
IF(OR(ISNUMBER(SEARCH("Melee",$L101)),ISNUMBER(SEARCH("Bypass",$L101))),1.5,1)</f>
        <v>3.3333333333333335</v>
      </c>
      <c r="Z101" s="17" cm="1">
        <f t="array" ref="Z101">$H101 *
IF(ISNUMBER(SEARCH("Rapid",$L101)),7/6,1) *
IF(OR(ISNUMBER(SEARCH("Beam",$L101)),ISNUMBER(SEARCH("Firestorm",$L101))),1, IF(ISNUMBER(SEARCH("Blast",$L101)),(4+$F101+(2-$F101)*0.5)/6*2,(4+$F101)/6)) *
IF(ISNUMBER(SEARCH("Fusion",$L101)), _xlfn.IFS(Z$24-$I101 &lt;=1, 9/10, Z$24-$I101 &lt;=10,(11-(Z$24-$I101))/10, Z$24-$I101 &gt;=11, 0),
_xlfn.IFS(Z$24-$I101 &lt;=1, 5/6, Z$24-$I101 &lt;=5, (7-(Z$24-$I101))/6, AND(Z$24-$I101 =6,NOT(_xlfn.IFNA(ISNUMBER(SEARCH("Rending",$L101)),FALSE))), (7-(Z$24-$I101))/6, AND(Z$24-$I101 &gt;=7,NOT(_xlfn.IFNA(ISNUMBER(SEARCH("Rending",$L101)),FALSE))), 0, Z$24-$I101 =7, (7-(Z$24-1-$I101))/6, Z$24-$I101 =8, (7-(Z$24-2-$I101))/6*2/3, Z$24-$I101 =9, (7-(Z$24-3-$I101))/6*1/3, TRUE, 0)) *
IF(ISNUMBER(SEARCH("Ordinance",$L101)),7/6,1) *
IF(OR(ISNUMBER(SEARCH("Melee",$L101)),ISNUMBER(SEARCH("Bypass",$L101))),1.5,1)</f>
        <v>2.6666666666666665</v>
      </c>
      <c r="AA101" s="17" cm="1">
        <f t="array" ref="AA101">$H101 *
IF(ISNUMBER(SEARCH("Rapid",$L101)),7/6,1) *
IF(OR(ISNUMBER(SEARCH("Beam",$L101)),ISNUMBER(SEARCH("Firestorm",$L101))),1, IF(ISNUMBER(SEARCH("Blast",$L101)),(4+$F101+(2-$F101)*0.5)/6*2,(4+$F101)/6)) *
IF(ISNUMBER(SEARCH("Fusion",$L101)), _xlfn.IFS(AA$24-$I101 &lt;=1, 9/10, AA$24-$I101 &lt;=10,(11-(AA$24-$I101))/10, AA$24-$I101 &gt;=11, 0),
_xlfn.IFS(AA$24-$I101 &lt;=1, 5/6, AA$24-$I101 &lt;=5, (7-(AA$24-$I101))/6, AND(AA$24-$I101 =6,NOT(_xlfn.IFNA(ISNUMBER(SEARCH("Rending",$L101)),FALSE))), (7-(AA$24-$I101))/6, AND(AA$24-$I101 &gt;=7,NOT(_xlfn.IFNA(ISNUMBER(SEARCH("Rending",$L101)),FALSE))), 0, AA$24-$I101 =7, (7-(AA$24-1-$I101))/6, AA$24-$I101 =8, (7-(AA$24-2-$I101))/6*2/3, AA$24-$I101 =9, (7-(AA$24-3-$I101))/6*1/3, TRUE, 0)) *
IF(ISNUMBER(SEARCH("Ordinance",$L101)),7/6,1) *
IF(OR(ISNUMBER(SEARCH("Melee",$L101)),ISNUMBER(SEARCH("Bypass",$L101))),1.5,1)</f>
        <v>2</v>
      </c>
      <c r="AB101" s="17" cm="1">
        <f t="array" ref="AB101">$H101 *
IF(ISNUMBER(SEARCH("Rapid",$L101)),7/6,1) *
IF(OR(ISNUMBER(SEARCH("Beam",$L101)),ISNUMBER(SEARCH("Firestorm",$L101))),1, IF(ISNUMBER(SEARCH("Blast",$L101)),(4+$F101+(2-$F101)*0.5)/6*2,(4+$F101)/6)) *
IF(ISNUMBER(SEARCH("Fusion",$L101)), _xlfn.IFS(AB$24-$I101 &lt;=1, 9/10, AB$24-$I101 &lt;=10,(11-(AB$24-$I101))/10, AB$24-$I101 &gt;=11, 0),
_xlfn.IFS(AB$24-$I101 &lt;=1, 5/6, AB$24-$I101 &lt;=5, (7-(AB$24-$I101))/6, AND(AB$24-$I101 =6,NOT(_xlfn.IFNA(ISNUMBER(SEARCH("Rending",$L101)),FALSE))), (7-(AB$24-$I101))/6, AND(AB$24-$I101 &gt;=7,NOT(_xlfn.IFNA(ISNUMBER(SEARCH("Rending",$L101)),FALSE))), 0, AB$24-$I101 =7, (7-(AB$24-1-$I101))/6, AB$24-$I101 =8, (7-(AB$24-2-$I101))/6*2/3, AB$24-$I101 =9, (7-(AB$24-3-$I101))/6*1/3, TRUE, 0)) *
IF(ISNUMBER(SEARCH("Ordinance",$L101)),7/6,1) *
IF(OR(ISNUMBER(SEARCH("Melee",$L101)),ISNUMBER(SEARCH("Bypass",$L101))),1.5,1)</f>
        <v>1.3333333333333333</v>
      </c>
      <c r="AC101" s="17" cm="1">
        <f t="array" ref="AC101">$H101 *
IF(ISNUMBER(SEARCH("Rapid",$L101)),7/6,1) *
IF(OR(ISNUMBER(SEARCH("Beam",$L101)),ISNUMBER(SEARCH("Firestorm",$L101))),1, IF(ISNUMBER(SEARCH("Blast",$L101)),(4+$F101+(2-$F101)*0.5)/6*2,(4+$F101)/6)) *
IF(ISNUMBER(SEARCH("Fusion",$L101)), _xlfn.IFS(AC$24-$I101 &lt;=1, 9/10, AC$24-$I101 &lt;=10,(11-(AC$24-$I101))/10, AC$24-$I101 &gt;=11, 0),
_xlfn.IFS(AC$24-$I101 &lt;=1, 5/6, AC$24-$I101 &lt;=5, (7-(AC$24-$I101))/6, AND(AC$24-$I101 =6,NOT(_xlfn.IFNA(ISNUMBER(SEARCH("Rending",$L101)),FALSE))), (7-(AC$24-$I101))/6, AND(AC$24-$I101 &gt;=7,NOT(_xlfn.IFNA(ISNUMBER(SEARCH("Rending",$L101)),FALSE))), 0, AC$24-$I101 =7, (7-(AC$24-1-$I101))/6, AC$24-$I101 =8, (7-(AC$24-2-$I101))/6*2/3, AC$24-$I101 =9, (7-(AC$24-3-$I101))/6*1/3, TRUE, 0)) *
IF(ISNUMBER(SEARCH("Ordinance",$L101)),7/6,1) *
IF(OR(ISNUMBER(SEARCH("Melee",$L101)),ISNUMBER(SEARCH("Bypass",$L101))),1.5,1)</f>
        <v>0.66666666666666663</v>
      </c>
      <c r="AD101" s="17" cm="1">
        <f t="array" ref="AD101">$H101 *
IF(ISNUMBER(SEARCH("Rapid",$L101)),7/6,1) *
IF(OR(ISNUMBER(SEARCH("Beam",$L101)),ISNUMBER(SEARCH("Firestorm",$L101))),1, IF(ISNUMBER(SEARCH("Blast",$L101)),(4+$F101+(2-$F101)*0.5)/6*2,(4+$F101)/6)) *
IF(ISNUMBER(SEARCH("Fusion",$L101)), _xlfn.IFS(AD$24-$I101 &lt;=1, 9/10, AD$24-$I101 &lt;=10,(11-(AD$24-$I101))/10, AD$24-$I101 &gt;=11, 0),
_xlfn.IFS(AD$24-$I101 &lt;=1, 5/6, AD$24-$I101 &lt;=5, (7-(AD$24-$I101))/6, AND(AD$24-$I101 =6,NOT(_xlfn.IFNA(ISNUMBER(SEARCH("Rending",$L101)),FALSE))), (7-(AD$24-$I101))/6, AND(AD$24-$I101 &gt;=7,NOT(_xlfn.IFNA(ISNUMBER(SEARCH("Rending",$L101)),FALSE))), 0, AD$24-$I101 =7, (7-(AD$24-1-$I101))/6, AD$24-$I101 =8, (7-(AD$24-2-$I101))/6*2/3, AD$24-$I101 =9, (7-(AD$24-3-$I101))/6*1/3, TRUE, 0)) *
IF(ISNUMBER(SEARCH("Ordinance",$L101)),7/6,1) *
IF(OR(ISNUMBER(SEARCH("Melee",$L101)),ISNUMBER(SEARCH("Bypass",$L101))),1.5,1)</f>
        <v>0</v>
      </c>
      <c r="AE101" s="17" cm="1">
        <f t="array" ref="AE101">$H101 *
IF(ISNUMBER(SEARCH("Rapid",$L101)),7/6,1) *
IF(OR(ISNUMBER(SEARCH("Beam",$L101)),ISNUMBER(SEARCH("Firestorm",$L101))),1, IF(ISNUMBER(SEARCH("Blast",$L101)),(4+$F101+(2-$F101)*0.5)/6*2,(4+$F101)/6)) *
IF(ISNUMBER(SEARCH("Fusion",$L101)), _xlfn.IFS(AE$24-$I101 &lt;=1, 9/10, AE$24-$I101 &lt;=10,(11-(AE$24-$I101))/10, AE$24-$I101 &gt;=11, 0),
_xlfn.IFS(AE$24-$I101 &lt;=1, 5/6, AE$24-$I101 &lt;=5, (7-(AE$24-$I101))/6, AND(AE$24-$I101 =6,NOT(_xlfn.IFNA(ISNUMBER(SEARCH("Rending",$L101)),FALSE))), (7-(AE$24-$I101))/6, AND(AE$24-$I101 &gt;=7,NOT(_xlfn.IFNA(ISNUMBER(SEARCH("Rending",$L101)),FALSE))), 0, AE$24-$I101 =7, (7-(AE$24-1-$I101))/6, AE$24-$I101 =8, (7-(AE$24-2-$I101))/6*2/3, AE$24-$I101 =9, (7-(AE$24-3-$I101))/6*1/3, TRUE, 0)) *
IF(ISNUMBER(SEARCH("Ordinance",$L101)),7/6,1) *
IF(OR(ISNUMBER(SEARCH("Melee",$L101)),ISNUMBER(SEARCH("Bypass",$L101))),1.5,1)</f>
        <v>0</v>
      </c>
      <c r="AF101" s="17" cm="1">
        <f t="array" ref="AF101">$H101 *
IF(ISNUMBER(SEARCH("Rapid",$L101)),7/6,1) *
IF(OR(ISNUMBER(SEARCH("Beam",$L101)),ISNUMBER(SEARCH("Firestorm",$L101))),1, IF(ISNUMBER(SEARCH("Blast",$L101)),(4+$F101+(2-$F101)*0.5)/6*2,(4+$F101)/6)) *
IF(ISNUMBER(SEARCH("Fusion",$L101)), _xlfn.IFS(AF$24-$I101 &lt;=1, 9/10, AF$24-$I101 &lt;=10,(11-(AF$24-$I101))/10, AF$24-$I101 &gt;=11, 0),
_xlfn.IFS(AF$24-$I101 &lt;=1, 5/6, AF$24-$I101 &lt;=5, (7-(AF$24-$I101))/6, AND(AF$24-$I101 =6,NOT(_xlfn.IFNA(ISNUMBER(SEARCH("Rending",$L101)),FALSE))), (7-(AF$24-$I101))/6, AND(AF$24-$I101 &gt;=7,NOT(_xlfn.IFNA(ISNUMBER(SEARCH("Rending",$L101)),FALSE))), 0, AF$24-$I101 =7, (7-(AF$24-1-$I101))/6, AF$24-$I101 =8, (7-(AF$24-2-$I101))/6*2/3, AF$24-$I101 =9, (7-(AF$24-3-$I101))/6*1/3, TRUE, 0)) *
IF(ISNUMBER(SEARCH("Ordinance",$L101)),7/6,1) *
IF(OR(ISNUMBER(SEARCH("Melee",$L101)),ISNUMBER(SEARCH("Bypass",$L101))),1.5,1)</f>
        <v>0</v>
      </c>
      <c r="AG101" s="16">
        <f t="shared" si="22"/>
        <v>1.5</v>
      </c>
      <c r="AH101" s="16">
        <f t="shared" si="23"/>
        <v>2</v>
      </c>
      <c r="AI101" s="17" cm="1">
        <f t="array" ref="AI101">$H101 *
IF(ISNUMBER(SEARCH("Rapid",$L101)),7/6,1) *
IF(OR(ISNUMBER(SEARCH("Beam",$L101)),ISNUMBER(SEARCH("Firestorm",$L101))),1, IF(ISNUMBER(SEARCH("Blast",$L101)),(4+$G101+(2-$G101)*0.5)/6*2,(4+$G101)/6)) *
_xlfn.IFS(AI$24-$I101 &lt;=1, 5/6, AI$24-$I101 &lt;=5, (7-(AI$24-$I101))/6, AND(AI$24-$I101 =6,NOT(_xlfn.IFNA(ISNUMBER(SEARCH("Rending",$L101)),FALSE))), (7-(AI$24-$I101))/6, AND(AI$24-$I101 &gt;=7,NOT(_xlfn.IFNA(ISNUMBER(SEARCH("Rending",$L101)),FALSE))), 0, AI$24-$I101 =7, (7-(AI$24-1-$I101))/6, AI$24-$I101 =8, (7-(AI$24-2-$I101))/6*2/3, AI$24-$I101 =9, (7-(AI$24-3-$I101))/6*1/3, TRUE, 0) *
IF(ISNUMBER(SEARCH("Ordinance",$L101)),7/6,1) *
IF(OR(ISNUMBER(SEARCH("Melee",$L101)),ISNUMBER(SEARCH("Bypass",$L101))),1.5,1)</f>
        <v>2.5</v>
      </c>
      <c r="AJ101" s="17" cm="1">
        <f t="array" ref="AJ101">$H101 *
IF(ISNUMBER(SEARCH("Rapid",$L101)),7/6,1) *
IF(OR(ISNUMBER(SEARCH("Beam",$L101)),ISNUMBER(SEARCH("Firestorm",$L101))),1, IF(ISNUMBER(SEARCH("Blast",$L101)),(4+$G101+(2-$G101)*0.5)/6*2,(4+$G101)/6)) *
_xlfn.IFS(AJ$24-$I101 &lt;=1, 5/6, AJ$24-$I101 &lt;=5, (7-(AJ$24-$I101))/6, AND(AJ$24-$I101 =6,NOT(_xlfn.IFNA(ISNUMBER(SEARCH("Rending",$L101)),FALSE))), (7-(AJ$24-$I101))/6, AND(AJ$24-$I101 &gt;=7,NOT(_xlfn.IFNA(ISNUMBER(SEARCH("Rending",$L101)),FALSE))), 0, AJ$24-$I101 =7, (7-(AJ$24-1-$I101))/6, AJ$24-$I101 =8, (7-(AJ$24-2-$I101))/6*2/3, AJ$24-$I101 =9, (7-(AJ$24-3-$I101))/6*1/3, TRUE, 0) *
IF(ISNUMBER(SEARCH("Ordinance",$L101)),7/6,1) *
IF(OR(ISNUMBER(SEARCH("Melee",$L101)),ISNUMBER(SEARCH("Bypass",$L101))),1.5,1)</f>
        <v>2.5</v>
      </c>
      <c r="AK101" s="17" cm="1">
        <f t="array" ref="AK101">$H101 *
IF(ISNUMBER(SEARCH("Rapid",$L101)),7/6,1) *
IF(OR(ISNUMBER(SEARCH("Beam",$L101)),ISNUMBER(SEARCH("Firestorm",$L101))),1, IF(ISNUMBER(SEARCH("Blast",$L101)),(4+$G101+(2-$G101)*0.5)/6*2,(4+$G101)/6)) *
_xlfn.IFS(AK$24-$I101 &lt;=1, 5/6, AK$24-$I101 &lt;=5, (7-(AK$24-$I101))/6, AND(AK$24-$I101 =6,NOT(_xlfn.IFNA(ISNUMBER(SEARCH("Rending",$L101)),FALSE))), (7-(AK$24-$I101))/6, AND(AK$24-$I101 &gt;=7,NOT(_xlfn.IFNA(ISNUMBER(SEARCH("Rending",$L101)),FALSE))), 0, AK$24-$I101 =7, (7-(AK$24-1-$I101))/6, AK$24-$I101 =8, (7-(AK$24-2-$I101))/6*2/3, AK$24-$I101 =9, (7-(AK$24-3-$I101))/6*1/3, TRUE, 0) *
IF(ISNUMBER(SEARCH("Ordinance",$L101)),7/6,1) *
IF(OR(ISNUMBER(SEARCH("Melee",$L101)),ISNUMBER(SEARCH("Bypass",$L101))),1.5,1)</f>
        <v>2</v>
      </c>
      <c r="AL101" s="17" cm="1">
        <f t="array" ref="AL101">$H101 *
IF(ISNUMBER(SEARCH("Rapid",$L101)),7/6,1) *
IF(OR(ISNUMBER(SEARCH("Beam",$L101)),ISNUMBER(SEARCH("Firestorm",$L101))),1, IF(ISNUMBER(SEARCH("Blast",$L101)),(4+$G101+(2-$G101)*0.5)/6*2,(4+$G101)/6)) *
_xlfn.IFS(AL$24-$I101 &lt;=1, 5/6, AL$24-$I101 &lt;=5, (7-(AL$24-$I101))/6, AND(AL$24-$I101 =6,NOT(_xlfn.IFNA(ISNUMBER(SEARCH("Rending",$L101)),FALSE))), (7-(AL$24-$I101))/6, AND(AL$24-$I101 &gt;=7,NOT(_xlfn.IFNA(ISNUMBER(SEARCH("Rending",$L101)),FALSE))), 0, AL$24-$I101 =7, (7-(AL$24-1-$I101))/6, AL$24-$I101 =8, (7-(AL$24-2-$I101))/6*2/3, AL$24-$I101 =9, (7-(AL$24-3-$I101))/6*1/3, TRUE, 0) *
IF(ISNUMBER(SEARCH("Ordinance",$L101)),7/6,1) *
IF(OR(ISNUMBER(SEARCH("Melee",$L101)),ISNUMBER(SEARCH("Bypass",$L101))),1.5,1)</f>
        <v>1.5</v>
      </c>
      <c r="AM101" s="17" cm="1">
        <f t="array" ref="AM101">$H101 *
IF(ISNUMBER(SEARCH("Rapid",$L101)),7/6,1) *
IF(OR(ISNUMBER(SEARCH("Beam",$L101)),ISNUMBER(SEARCH("Firestorm",$L101))),1, IF(ISNUMBER(SEARCH("Blast",$L101)),(4+$G101+(2-$G101)*0.5)/6*2,(4+$G101)/6)) *
_xlfn.IFS(AM$24-$I101 &lt;=1, 5/6, AM$24-$I101 &lt;=5, (7-(AM$24-$I101))/6, AND(AM$24-$I101 =6,NOT(_xlfn.IFNA(ISNUMBER(SEARCH("Rending",$L101)),FALSE))), (7-(AM$24-$I101))/6, AND(AM$24-$I101 &gt;=7,NOT(_xlfn.IFNA(ISNUMBER(SEARCH("Rending",$L101)),FALSE))), 0, AM$24-$I101 =7, (7-(AM$24-1-$I101))/6, AM$24-$I101 =8, (7-(AM$24-2-$I101))/6*2/3, AM$24-$I101 =9, (7-(AM$24-3-$I101))/6*1/3, TRUE, 0) *
IF(ISNUMBER(SEARCH("Ordinance",$L101)),7/6,1) *
IF(OR(ISNUMBER(SEARCH("Melee",$L101)),ISNUMBER(SEARCH("Bypass",$L101))),1.5,1)</f>
        <v>1</v>
      </c>
      <c r="AN101" s="17" cm="1">
        <f t="array" ref="AN101">$H101 *
IF(ISNUMBER(SEARCH("Rapid",$L101)),7/6,1) *
IF(OR(ISNUMBER(SEARCH("Beam",$L101)),ISNUMBER(SEARCH("Firestorm",$L101))),1, IF(ISNUMBER(SEARCH("Blast",$L101)),(4+$G101+(2-$G101)*0.5)/6*2,(4+$G101)/6)) *
_xlfn.IFS(AN$24-$I101 &lt;=1, 5/6, AN$24-$I101 &lt;=5, (7-(AN$24-$I101))/6, AND(AN$24-$I101 =6,NOT(_xlfn.IFNA(ISNUMBER(SEARCH("Rending",$L101)),FALSE))), (7-(AN$24-$I101))/6, AND(AN$24-$I101 &gt;=7,NOT(_xlfn.IFNA(ISNUMBER(SEARCH("Rending",$L101)),FALSE))), 0, AN$24-$I101 =7, (7-(AN$24-1-$I101))/6, AN$24-$I101 =8, (7-(AN$24-2-$I101))/6*2/3, AN$24-$I101 =9, (7-(AN$24-3-$I101))/6*1/3, TRUE, 0) *
IF(ISNUMBER(SEARCH("Ordinance",$L101)),7/6,1) *
IF(OR(ISNUMBER(SEARCH("Melee",$L101)),ISNUMBER(SEARCH("Bypass",$L101))),1.5,1)</f>
        <v>0.5</v>
      </c>
      <c r="AO101" s="17" cm="1">
        <f t="array" ref="AO101">$H101 *
IF(ISNUMBER(SEARCH("Rapid",$L101)),7/6,1) *
IF(OR(ISNUMBER(SEARCH("Beam",$L101)),ISNUMBER(SEARCH("Firestorm",$L101))),1, IF(ISNUMBER(SEARCH("Blast",$L101)),(4+$G101+(2-$G101)*0.5)/6*2,(4+$G101)/6)) *
_xlfn.IFS(AO$24-$I101 &lt;=1, 5/6, AO$24-$I101 &lt;=5, (7-(AO$24-$I101))/6, AND(AO$24-$I101 =6,NOT(_xlfn.IFNA(ISNUMBER(SEARCH("Rending",$L101)),FALSE))), (7-(AO$24-$I101))/6, AND(AO$24-$I101 &gt;=7,NOT(_xlfn.IFNA(ISNUMBER(SEARCH("Rending",$L101)),FALSE))), 0, AO$24-$I101 =7, (7-(AO$24-1-$I101))/6, AO$24-$I101 =8, (7-(AO$24-2-$I101))/6*2/3, AO$24-$I101 =9, (7-(AO$24-3-$I101))/6*1/3, TRUE, 0) *
IF(ISNUMBER(SEARCH("Ordinance",$L101)),7/6,1) *
IF(OR(ISNUMBER(SEARCH("Melee",$L101)),ISNUMBER(SEARCH("Bypass",$L101))),1.5,1)</f>
        <v>0</v>
      </c>
      <c r="AP101" s="17" cm="1">
        <f t="array" ref="AP101">$H101 *
IF(ISNUMBER(SEARCH("Rapid",$L101)),7/6,1) *
IF(OR(ISNUMBER(SEARCH("Beam",$L101)),ISNUMBER(SEARCH("Firestorm",$L101))),1, IF(ISNUMBER(SEARCH("Blast",$L101)),(4+$G101+(2-$G101)*0.5)/6*2,(4+$G101)/6)) *
_xlfn.IFS(AP$24-$I101 &lt;=1, 5/6, AP$24-$I101 &lt;=5, (7-(AP$24-$I101))/6, AND(AP$24-$I101 =6,NOT(_xlfn.IFNA(ISNUMBER(SEARCH("Rending",$L101)),FALSE))), (7-(AP$24-$I101))/6, AND(AP$24-$I101 &gt;=7,NOT(_xlfn.IFNA(ISNUMBER(SEARCH("Rending",$L101)),FALSE))), 0, AP$24-$I101 =7, (7-(AP$24-1-$I101))/6, AP$24-$I101 =8, (7-(AP$24-2-$I101))/6*2/3, AP$24-$I101 =9, (7-(AP$24-3-$I101))/6*1/3, TRUE, 0) *
IF(ISNUMBER(SEARCH("Ordinance",$L101)),7/6,1) *
IF(OR(ISNUMBER(SEARCH("Melee",$L101)),ISNUMBER(SEARCH("Bypass",$L101))),1.5,1)</f>
        <v>0</v>
      </c>
      <c r="AQ101" s="17" cm="1">
        <f t="array" ref="AQ101">$H101 *
IF(ISNUMBER(SEARCH("Rapid",$L101)),7/6,1) *
IF(OR(ISNUMBER(SEARCH("Beam",$L101)),ISNUMBER(SEARCH("Firestorm",$L101))),1, IF(ISNUMBER(SEARCH("Blast",$L101)),(4+$G101+(2-$G101)*0.5)/6*2,(4+$G101)/6)) *
_xlfn.IFS(AQ$24-$I101 &lt;=1, 5/6, AQ$24-$I101 &lt;=5, (7-(AQ$24-$I101))/6, AND(AQ$24-$I101 =6,NOT(_xlfn.IFNA(ISNUMBER(SEARCH("Rending",$L101)),FALSE))), (7-(AQ$24-$I101))/6, AND(AQ$24-$I101 &gt;=7,NOT(_xlfn.IFNA(ISNUMBER(SEARCH("Rending",$L101)),FALSE))), 0, AQ$24-$I101 =7, (7-(AQ$24-1-$I101))/6, AQ$24-$I101 =8, (7-(AQ$24-2-$I101))/6*2/3, AQ$24-$I101 =9, (7-(AQ$24-3-$I101))/6*1/3, TRUE, 0) *
IF(ISNUMBER(SEARCH("Ordinance",$L101)),7/6,1) *
IF(OR(ISNUMBER(SEARCH("Melee",$L101)),ISNUMBER(SEARCH("Bypass",$L101))),1.5,1)</f>
        <v>0</v>
      </c>
      <c r="AS101" s="16">
        <f t="shared" si="26"/>
        <v>1</v>
      </c>
      <c r="AT101" s="16">
        <f t="shared" si="27"/>
        <v>1.3333333333333333</v>
      </c>
      <c r="AU101" s="16">
        <f t="shared" si="28"/>
        <v>2.2777777777777781</v>
      </c>
      <c r="AV101" s="2">
        <v>10</v>
      </c>
    </row>
    <row r="102" spans="1:48" x14ac:dyDescent="0.3">
      <c r="A102" t="s">
        <v>280</v>
      </c>
      <c r="B102" s="3">
        <v>16</v>
      </c>
      <c r="C102" s="3">
        <v>32</v>
      </c>
      <c r="D102" s="3">
        <v>1</v>
      </c>
      <c r="E102" s="3">
        <v>2</v>
      </c>
      <c r="F102" s="10">
        <v>0</v>
      </c>
      <c r="G102" s="10">
        <v>-1</v>
      </c>
      <c r="H102" s="3">
        <v>6</v>
      </c>
      <c r="I102" s="3">
        <v>8</v>
      </c>
      <c r="J102" s="3" t="s">
        <v>254</v>
      </c>
      <c r="K102" s="3">
        <v>75</v>
      </c>
      <c r="L102" s="3" t="s">
        <v>255</v>
      </c>
      <c r="M102" s="3" t="s">
        <v>199</v>
      </c>
      <c r="N102" s="3">
        <v>11</v>
      </c>
      <c r="O102" s="3">
        <v>11</v>
      </c>
      <c r="P102" s="3">
        <v>15</v>
      </c>
      <c r="Q102" s="3" t="s">
        <v>200</v>
      </c>
      <c r="R102" s="3">
        <v>7</v>
      </c>
      <c r="S102" s="3">
        <v>9</v>
      </c>
      <c r="T102" s="3">
        <v>4</v>
      </c>
      <c r="V102" s="16">
        <f t="shared" si="20"/>
        <v>2</v>
      </c>
      <c r="W102" s="16">
        <f t="shared" si="21"/>
        <v>2.6666666666666665</v>
      </c>
      <c r="X102" s="17" cm="1">
        <f t="array" ref="X102">$H102 *
IF(ISNUMBER(SEARCH("Rapid",$L102)),7/6,1) *
IF(OR(ISNUMBER(SEARCH("Beam",$L102)),ISNUMBER(SEARCH("Firestorm",$L102))),1, IF(ISNUMBER(SEARCH("Blast",$L102)),(4+$F102+(2-$F102)*0.5)/6*2,(4+$F102)/6)) *
IF(ISNUMBER(SEARCH("Fusion",$L102)), _xlfn.IFS(X$24-$I102 &lt;=1, 9/10, X$24-$I102 &lt;=10,(11-(X$24-$I102))/10, X$24-$I102 &gt;=11, 0),
_xlfn.IFS(X$24-$I102 &lt;=1, 5/6, X$24-$I102 &lt;=5, (7-(X$24-$I102))/6, AND(X$24-$I102 =6,NOT(_xlfn.IFNA(ISNUMBER(SEARCH("Rending",$L102)),FALSE))), (7-(X$24-$I102))/6, AND(X$24-$I102 &gt;=7,NOT(_xlfn.IFNA(ISNUMBER(SEARCH("Rending",$L102)),FALSE))), 0, X$24-$I102 =7, (7-(X$24-1-$I102))/6, X$24-$I102 =8, (7-(X$24-2-$I102))/6*2/3, X$24-$I102 =9, (7-(X$24-3-$I102))/6*1/3, TRUE, 0)) *
IF(ISNUMBER(SEARCH("Ordinance",$L102)),7/6,1) *
IF(OR(ISNUMBER(SEARCH("Melee",$L102)),ISNUMBER(SEARCH("Bypass",$L102))),1.5,1)</f>
        <v>3.3333333333333335</v>
      </c>
      <c r="Y102" s="17" cm="1">
        <f t="array" ref="Y102">$H102 *
IF(ISNUMBER(SEARCH("Rapid",$L102)),7/6,1) *
IF(OR(ISNUMBER(SEARCH("Beam",$L102)),ISNUMBER(SEARCH("Firestorm",$L102))),1, IF(ISNUMBER(SEARCH("Blast",$L102)),(4+$F102+(2-$F102)*0.5)/6*2,(4+$F102)/6)) *
IF(ISNUMBER(SEARCH("Fusion",$L102)), _xlfn.IFS(Y$24-$I102 &lt;=1, 9/10, Y$24-$I102 &lt;=10,(11-(Y$24-$I102))/10, Y$24-$I102 &gt;=11, 0),
_xlfn.IFS(Y$24-$I102 &lt;=1, 5/6, Y$24-$I102 &lt;=5, (7-(Y$24-$I102))/6, AND(Y$24-$I102 =6,NOT(_xlfn.IFNA(ISNUMBER(SEARCH("Rending",$L102)),FALSE))), (7-(Y$24-$I102))/6, AND(Y$24-$I102 &gt;=7,NOT(_xlfn.IFNA(ISNUMBER(SEARCH("Rending",$L102)),FALSE))), 0, Y$24-$I102 =7, (7-(Y$24-1-$I102))/6, Y$24-$I102 =8, (7-(Y$24-2-$I102))/6*2/3, Y$24-$I102 =9, (7-(Y$24-3-$I102))/6*1/3, TRUE, 0)) *
IF(ISNUMBER(SEARCH("Ordinance",$L102)),7/6,1) *
IF(OR(ISNUMBER(SEARCH("Melee",$L102)),ISNUMBER(SEARCH("Bypass",$L102))),1.5,1)</f>
        <v>3.3333333333333335</v>
      </c>
      <c r="Z102" s="17" cm="1">
        <f t="array" ref="Z102">$H102 *
IF(ISNUMBER(SEARCH("Rapid",$L102)),7/6,1) *
IF(OR(ISNUMBER(SEARCH("Beam",$L102)),ISNUMBER(SEARCH("Firestorm",$L102))),1, IF(ISNUMBER(SEARCH("Blast",$L102)),(4+$F102+(2-$F102)*0.5)/6*2,(4+$F102)/6)) *
IF(ISNUMBER(SEARCH("Fusion",$L102)), _xlfn.IFS(Z$24-$I102 &lt;=1, 9/10, Z$24-$I102 &lt;=10,(11-(Z$24-$I102))/10, Z$24-$I102 &gt;=11, 0),
_xlfn.IFS(Z$24-$I102 &lt;=1, 5/6, Z$24-$I102 &lt;=5, (7-(Z$24-$I102))/6, AND(Z$24-$I102 =6,NOT(_xlfn.IFNA(ISNUMBER(SEARCH("Rending",$L102)),FALSE))), (7-(Z$24-$I102))/6, AND(Z$24-$I102 &gt;=7,NOT(_xlfn.IFNA(ISNUMBER(SEARCH("Rending",$L102)),FALSE))), 0, Z$24-$I102 =7, (7-(Z$24-1-$I102))/6, Z$24-$I102 =8, (7-(Z$24-2-$I102))/6*2/3, Z$24-$I102 =9, (7-(Z$24-3-$I102))/6*1/3, TRUE, 0)) *
IF(ISNUMBER(SEARCH("Ordinance",$L102)),7/6,1) *
IF(OR(ISNUMBER(SEARCH("Melee",$L102)),ISNUMBER(SEARCH("Bypass",$L102))),1.5,1)</f>
        <v>2.6666666666666665</v>
      </c>
      <c r="AA102" s="17" cm="1">
        <f t="array" ref="AA102">$H102 *
IF(ISNUMBER(SEARCH("Rapid",$L102)),7/6,1) *
IF(OR(ISNUMBER(SEARCH("Beam",$L102)),ISNUMBER(SEARCH("Firestorm",$L102))),1, IF(ISNUMBER(SEARCH("Blast",$L102)),(4+$F102+(2-$F102)*0.5)/6*2,(4+$F102)/6)) *
IF(ISNUMBER(SEARCH("Fusion",$L102)), _xlfn.IFS(AA$24-$I102 &lt;=1, 9/10, AA$24-$I102 &lt;=10,(11-(AA$24-$I102))/10, AA$24-$I102 &gt;=11, 0),
_xlfn.IFS(AA$24-$I102 &lt;=1, 5/6, AA$24-$I102 &lt;=5, (7-(AA$24-$I102))/6, AND(AA$24-$I102 =6,NOT(_xlfn.IFNA(ISNUMBER(SEARCH("Rending",$L102)),FALSE))), (7-(AA$24-$I102))/6, AND(AA$24-$I102 &gt;=7,NOT(_xlfn.IFNA(ISNUMBER(SEARCH("Rending",$L102)),FALSE))), 0, AA$24-$I102 =7, (7-(AA$24-1-$I102))/6, AA$24-$I102 =8, (7-(AA$24-2-$I102))/6*2/3, AA$24-$I102 =9, (7-(AA$24-3-$I102))/6*1/3, TRUE, 0)) *
IF(ISNUMBER(SEARCH("Ordinance",$L102)),7/6,1) *
IF(OR(ISNUMBER(SEARCH("Melee",$L102)),ISNUMBER(SEARCH("Bypass",$L102))),1.5,1)</f>
        <v>2</v>
      </c>
      <c r="AB102" s="17" cm="1">
        <f t="array" ref="AB102">$H102 *
IF(ISNUMBER(SEARCH("Rapid",$L102)),7/6,1) *
IF(OR(ISNUMBER(SEARCH("Beam",$L102)),ISNUMBER(SEARCH("Firestorm",$L102))),1, IF(ISNUMBER(SEARCH("Blast",$L102)),(4+$F102+(2-$F102)*0.5)/6*2,(4+$F102)/6)) *
IF(ISNUMBER(SEARCH("Fusion",$L102)), _xlfn.IFS(AB$24-$I102 &lt;=1, 9/10, AB$24-$I102 &lt;=10,(11-(AB$24-$I102))/10, AB$24-$I102 &gt;=11, 0),
_xlfn.IFS(AB$24-$I102 &lt;=1, 5/6, AB$24-$I102 &lt;=5, (7-(AB$24-$I102))/6, AND(AB$24-$I102 =6,NOT(_xlfn.IFNA(ISNUMBER(SEARCH("Rending",$L102)),FALSE))), (7-(AB$24-$I102))/6, AND(AB$24-$I102 &gt;=7,NOT(_xlfn.IFNA(ISNUMBER(SEARCH("Rending",$L102)),FALSE))), 0, AB$24-$I102 =7, (7-(AB$24-1-$I102))/6, AB$24-$I102 =8, (7-(AB$24-2-$I102))/6*2/3, AB$24-$I102 =9, (7-(AB$24-3-$I102))/6*1/3, TRUE, 0)) *
IF(ISNUMBER(SEARCH("Ordinance",$L102)),7/6,1) *
IF(OR(ISNUMBER(SEARCH("Melee",$L102)),ISNUMBER(SEARCH("Bypass",$L102))),1.5,1)</f>
        <v>1.3333333333333333</v>
      </c>
      <c r="AC102" s="17" cm="1">
        <f t="array" ref="AC102">$H102 *
IF(ISNUMBER(SEARCH("Rapid",$L102)),7/6,1) *
IF(OR(ISNUMBER(SEARCH("Beam",$L102)),ISNUMBER(SEARCH("Firestorm",$L102))),1, IF(ISNUMBER(SEARCH("Blast",$L102)),(4+$F102+(2-$F102)*0.5)/6*2,(4+$F102)/6)) *
IF(ISNUMBER(SEARCH("Fusion",$L102)), _xlfn.IFS(AC$24-$I102 &lt;=1, 9/10, AC$24-$I102 &lt;=10,(11-(AC$24-$I102))/10, AC$24-$I102 &gt;=11, 0),
_xlfn.IFS(AC$24-$I102 &lt;=1, 5/6, AC$24-$I102 &lt;=5, (7-(AC$24-$I102))/6, AND(AC$24-$I102 =6,NOT(_xlfn.IFNA(ISNUMBER(SEARCH("Rending",$L102)),FALSE))), (7-(AC$24-$I102))/6, AND(AC$24-$I102 &gt;=7,NOT(_xlfn.IFNA(ISNUMBER(SEARCH("Rending",$L102)),FALSE))), 0, AC$24-$I102 =7, (7-(AC$24-1-$I102))/6, AC$24-$I102 =8, (7-(AC$24-2-$I102))/6*2/3, AC$24-$I102 =9, (7-(AC$24-3-$I102))/6*1/3, TRUE, 0)) *
IF(ISNUMBER(SEARCH("Ordinance",$L102)),7/6,1) *
IF(OR(ISNUMBER(SEARCH("Melee",$L102)),ISNUMBER(SEARCH("Bypass",$L102))),1.5,1)</f>
        <v>0.66666666666666663</v>
      </c>
      <c r="AD102" s="17" cm="1">
        <f t="array" ref="AD102">$H102 *
IF(ISNUMBER(SEARCH("Rapid",$L102)),7/6,1) *
IF(OR(ISNUMBER(SEARCH("Beam",$L102)),ISNUMBER(SEARCH("Firestorm",$L102))),1, IF(ISNUMBER(SEARCH("Blast",$L102)),(4+$F102+(2-$F102)*0.5)/6*2,(4+$F102)/6)) *
IF(ISNUMBER(SEARCH("Fusion",$L102)), _xlfn.IFS(AD$24-$I102 &lt;=1, 9/10, AD$24-$I102 &lt;=10,(11-(AD$24-$I102))/10, AD$24-$I102 &gt;=11, 0),
_xlfn.IFS(AD$24-$I102 &lt;=1, 5/6, AD$24-$I102 &lt;=5, (7-(AD$24-$I102))/6, AND(AD$24-$I102 =6,NOT(_xlfn.IFNA(ISNUMBER(SEARCH("Rending",$L102)),FALSE))), (7-(AD$24-$I102))/6, AND(AD$24-$I102 &gt;=7,NOT(_xlfn.IFNA(ISNUMBER(SEARCH("Rending",$L102)),FALSE))), 0, AD$24-$I102 =7, (7-(AD$24-1-$I102))/6, AD$24-$I102 =8, (7-(AD$24-2-$I102))/6*2/3, AD$24-$I102 =9, (7-(AD$24-3-$I102))/6*1/3, TRUE, 0)) *
IF(ISNUMBER(SEARCH("Ordinance",$L102)),7/6,1) *
IF(OR(ISNUMBER(SEARCH("Melee",$L102)),ISNUMBER(SEARCH("Bypass",$L102))),1.5,1)</f>
        <v>0</v>
      </c>
      <c r="AE102" s="17" cm="1">
        <f t="array" ref="AE102">$H102 *
IF(ISNUMBER(SEARCH("Rapid",$L102)),7/6,1) *
IF(OR(ISNUMBER(SEARCH("Beam",$L102)),ISNUMBER(SEARCH("Firestorm",$L102))),1, IF(ISNUMBER(SEARCH("Blast",$L102)),(4+$F102+(2-$F102)*0.5)/6*2,(4+$F102)/6)) *
IF(ISNUMBER(SEARCH("Fusion",$L102)), _xlfn.IFS(AE$24-$I102 &lt;=1, 9/10, AE$24-$I102 &lt;=10,(11-(AE$24-$I102))/10, AE$24-$I102 &gt;=11, 0),
_xlfn.IFS(AE$24-$I102 &lt;=1, 5/6, AE$24-$I102 &lt;=5, (7-(AE$24-$I102))/6, AND(AE$24-$I102 =6,NOT(_xlfn.IFNA(ISNUMBER(SEARCH("Rending",$L102)),FALSE))), (7-(AE$24-$I102))/6, AND(AE$24-$I102 &gt;=7,NOT(_xlfn.IFNA(ISNUMBER(SEARCH("Rending",$L102)),FALSE))), 0, AE$24-$I102 =7, (7-(AE$24-1-$I102))/6, AE$24-$I102 =8, (7-(AE$24-2-$I102))/6*2/3, AE$24-$I102 =9, (7-(AE$24-3-$I102))/6*1/3, TRUE, 0)) *
IF(ISNUMBER(SEARCH("Ordinance",$L102)),7/6,1) *
IF(OR(ISNUMBER(SEARCH("Melee",$L102)),ISNUMBER(SEARCH("Bypass",$L102))),1.5,1)</f>
        <v>0</v>
      </c>
      <c r="AF102" s="17" cm="1">
        <f t="array" ref="AF102">$H102 *
IF(ISNUMBER(SEARCH("Rapid",$L102)),7/6,1) *
IF(OR(ISNUMBER(SEARCH("Beam",$L102)),ISNUMBER(SEARCH("Firestorm",$L102))),1, IF(ISNUMBER(SEARCH("Blast",$L102)),(4+$F102+(2-$F102)*0.5)/6*2,(4+$F102)/6)) *
IF(ISNUMBER(SEARCH("Fusion",$L102)), _xlfn.IFS(AF$24-$I102 &lt;=1, 9/10, AF$24-$I102 &lt;=10,(11-(AF$24-$I102))/10, AF$24-$I102 &gt;=11, 0),
_xlfn.IFS(AF$24-$I102 &lt;=1, 5/6, AF$24-$I102 &lt;=5, (7-(AF$24-$I102))/6, AND(AF$24-$I102 =6,NOT(_xlfn.IFNA(ISNUMBER(SEARCH("Rending",$L102)),FALSE))), (7-(AF$24-$I102))/6, AND(AF$24-$I102 &gt;=7,NOT(_xlfn.IFNA(ISNUMBER(SEARCH("Rending",$L102)),FALSE))), 0, AF$24-$I102 =7, (7-(AF$24-1-$I102))/6, AF$24-$I102 =8, (7-(AF$24-2-$I102))/6*2/3, AF$24-$I102 =9, (7-(AF$24-3-$I102))/6*1/3, TRUE, 0)) *
IF(ISNUMBER(SEARCH("Ordinance",$L102)),7/6,1) *
IF(OR(ISNUMBER(SEARCH("Melee",$L102)),ISNUMBER(SEARCH("Bypass",$L102))),1.5,1)</f>
        <v>0</v>
      </c>
      <c r="AG102" s="16">
        <f t="shared" si="22"/>
        <v>1.5</v>
      </c>
      <c r="AH102" s="16">
        <f t="shared" si="23"/>
        <v>2</v>
      </c>
      <c r="AI102" s="17" cm="1">
        <f t="array" ref="AI102">$H102 *
IF(ISNUMBER(SEARCH("Rapid",$L102)),7/6,1) *
IF(OR(ISNUMBER(SEARCH("Beam",$L102)),ISNUMBER(SEARCH("Firestorm",$L102))),1, IF(ISNUMBER(SEARCH("Blast",$L102)),(4+$G102+(2-$G102)*0.5)/6*2,(4+$G102)/6)) *
_xlfn.IFS(AI$24-$I102 &lt;=1, 5/6, AI$24-$I102 &lt;=5, (7-(AI$24-$I102))/6, AND(AI$24-$I102 =6,NOT(_xlfn.IFNA(ISNUMBER(SEARCH("Rending",$L102)),FALSE))), (7-(AI$24-$I102))/6, AND(AI$24-$I102 &gt;=7,NOT(_xlfn.IFNA(ISNUMBER(SEARCH("Rending",$L102)),FALSE))), 0, AI$24-$I102 =7, (7-(AI$24-1-$I102))/6, AI$24-$I102 =8, (7-(AI$24-2-$I102))/6*2/3, AI$24-$I102 =9, (7-(AI$24-3-$I102))/6*1/3, TRUE, 0) *
IF(ISNUMBER(SEARCH("Ordinance",$L102)),7/6,1) *
IF(OR(ISNUMBER(SEARCH("Melee",$L102)),ISNUMBER(SEARCH("Bypass",$L102))),1.5,1)</f>
        <v>2.5</v>
      </c>
      <c r="AJ102" s="17" cm="1">
        <f t="array" ref="AJ102">$H102 *
IF(ISNUMBER(SEARCH("Rapid",$L102)),7/6,1) *
IF(OR(ISNUMBER(SEARCH("Beam",$L102)),ISNUMBER(SEARCH("Firestorm",$L102))),1, IF(ISNUMBER(SEARCH("Blast",$L102)),(4+$G102+(2-$G102)*0.5)/6*2,(4+$G102)/6)) *
_xlfn.IFS(AJ$24-$I102 &lt;=1, 5/6, AJ$24-$I102 &lt;=5, (7-(AJ$24-$I102))/6, AND(AJ$24-$I102 =6,NOT(_xlfn.IFNA(ISNUMBER(SEARCH("Rending",$L102)),FALSE))), (7-(AJ$24-$I102))/6, AND(AJ$24-$I102 &gt;=7,NOT(_xlfn.IFNA(ISNUMBER(SEARCH("Rending",$L102)),FALSE))), 0, AJ$24-$I102 =7, (7-(AJ$24-1-$I102))/6, AJ$24-$I102 =8, (7-(AJ$24-2-$I102))/6*2/3, AJ$24-$I102 =9, (7-(AJ$24-3-$I102))/6*1/3, TRUE, 0) *
IF(ISNUMBER(SEARCH("Ordinance",$L102)),7/6,1) *
IF(OR(ISNUMBER(SEARCH("Melee",$L102)),ISNUMBER(SEARCH("Bypass",$L102))),1.5,1)</f>
        <v>2.5</v>
      </c>
      <c r="AK102" s="17" cm="1">
        <f t="array" ref="AK102">$H102 *
IF(ISNUMBER(SEARCH("Rapid",$L102)),7/6,1) *
IF(OR(ISNUMBER(SEARCH("Beam",$L102)),ISNUMBER(SEARCH("Firestorm",$L102))),1, IF(ISNUMBER(SEARCH("Blast",$L102)),(4+$G102+(2-$G102)*0.5)/6*2,(4+$G102)/6)) *
_xlfn.IFS(AK$24-$I102 &lt;=1, 5/6, AK$24-$I102 &lt;=5, (7-(AK$24-$I102))/6, AND(AK$24-$I102 =6,NOT(_xlfn.IFNA(ISNUMBER(SEARCH("Rending",$L102)),FALSE))), (7-(AK$24-$I102))/6, AND(AK$24-$I102 &gt;=7,NOT(_xlfn.IFNA(ISNUMBER(SEARCH("Rending",$L102)),FALSE))), 0, AK$24-$I102 =7, (7-(AK$24-1-$I102))/6, AK$24-$I102 =8, (7-(AK$24-2-$I102))/6*2/3, AK$24-$I102 =9, (7-(AK$24-3-$I102))/6*1/3, TRUE, 0) *
IF(ISNUMBER(SEARCH("Ordinance",$L102)),7/6,1) *
IF(OR(ISNUMBER(SEARCH("Melee",$L102)),ISNUMBER(SEARCH("Bypass",$L102))),1.5,1)</f>
        <v>2</v>
      </c>
      <c r="AL102" s="17" cm="1">
        <f t="array" ref="AL102">$H102 *
IF(ISNUMBER(SEARCH("Rapid",$L102)),7/6,1) *
IF(OR(ISNUMBER(SEARCH("Beam",$L102)),ISNUMBER(SEARCH("Firestorm",$L102))),1, IF(ISNUMBER(SEARCH("Blast",$L102)),(4+$G102+(2-$G102)*0.5)/6*2,(4+$G102)/6)) *
_xlfn.IFS(AL$24-$I102 &lt;=1, 5/6, AL$24-$I102 &lt;=5, (7-(AL$24-$I102))/6, AND(AL$24-$I102 =6,NOT(_xlfn.IFNA(ISNUMBER(SEARCH("Rending",$L102)),FALSE))), (7-(AL$24-$I102))/6, AND(AL$24-$I102 &gt;=7,NOT(_xlfn.IFNA(ISNUMBER(SEARCH("Rending",$L102)),FALSE))), 0, AL$24-$I102 =7, (7-(AL$24-1-$I102))/6, AL$24-$I102 =8, (7-(AL$24-2-$I102))/6*2/3, AL$24-$I102 =9, (7-(AL$24-3-$I102))/6*1/3, TRUE, 0) *
IF(ISNUMBER(SEARCH("Ordinance",$L102)),7/6,1) *
IF(OR(ISNUMBER(SEARCH("Melee",$L102)),ISNUMBER(SEARCH("Bypass",$L102))),1.5,1)</f>
        <v>1.5</v>
      </c>
      <c r="AM102" s="17" cm="1">
        <f t="array" ref="AM102">$H102 *
IF(ISNUMBER(SEARCH("Rapid",$L102)),7/6,1) *
IF(OR(ISNUMBER(SEARCH("Beam",$L102)),ISNUMBER(SEARCH("Firestorm",$L102))),1, IF(ISNUMBER(SEARCH("Blast",$L102)),(4+$G102+(2-$G102)*0.5)/6*2,(4+$G102)/6)) *
_xlfn.IFS(AM$24-$I102 &lt;=1, 5/6, AM$24-$I102 &lt;=5, (7-(AM$24-$I102))/6, AND(AM$24-$I102 =6,NOT(_xlfn.IFNA(ISNUMBER(SEARCH("Rending",$L102)),FALSE))), (7-(AM$24-$I102))/6, AND(AM$24-$I102 &gt;=7,NOT(_xlfn.IFNA(ISNUMBER(SEARCH("Rending",$L102)),FALSE))), 0, AM$24-$I102 =7, (7-(AM$24-1-$I102))/6, AM$24-$I102 =8, (7-(AM$24-2-$I102))/6*2/3, AM$24-$I102 =9, (7-(AM$24-3-$I102))/6*1/3, TRUE, 0) *
IF(ISNUMBER(SEARCH("Ordinance",$L102)),7/6,1) *
IF(OR(ISNUMBER(SEARCH("Melee",$L102)),ISNUMBER(SEARCH("Bypass",$L102))),1.5,1)</f>
        <v>1</v>
      </c>
      <c r="AN102" s="17" cm="1">
        <f t="array" ref="AN102">$H102 *
IF(ISNUMBER(SEARCH("Rapid",$L102)),7/6,1) *
IF(OR(ISNUMBER(SEARCH("Beam",$L102)),ISNUMBER(SEARCH("Firestorm",$L102))),1, IF(ISNUMBER(SEARCH("Blast",$L102)),(4+$G102+(2-$G102)*0.5)/6*2,(4+$G102)/6)) *
_xlfn.IFS(AN$24-$I102 &lt;=1, 5/6, AN$24-$I102 &lt;=5, (7-(AN$24-$I102))/6, AND(AN$24-$I102 =6,NOT(_xlfn.IFNA(ISNUMBER(SEARCH("Rending",$L102)),FALSE))), (7-(AN$24-$I102))/6, AND(AN$24-$I102 &gt;=7,NOT(_xlfn.IFNA(ISNUMBER(SEARCH("Rending",$L102)),FALSE))), 0, AN$24-$I102 =7, (7-(AN$24-1-$I102))/6, AN$24-$I102 =8, (7-(AN$24-2-$I102))/6*2/3, AN$24-$I102 =9, (7-(AN$24-3-$I102))/6*1/3, TRUE, 0) *
IF(ISNUMBER(SEARCH("Ordinance",$L102)),7/6,1) *
IF(OR(ISNUMBER(SEARCH("Melee",$L102)),ISNUMBER(SEARCH("Bypass",$L102))),1.5,1)</f>
        <v>0.5</v>
      </c>
      <c r="AO102" s="17" cm="1">
        <f t="array" ref="AO102">$H102 *
IF(ISNUMBER(SEARCH("Rapid",$L102)),7/6,1) *
IF(OR(ISNUMBER(SEARCH("Beam",$L102)),ISNUMBER(SEARCH("Firestorm",$L102))),1, IF(ISNUMBER(SEARCH("Blast",$L102)),(4+$G102+(2-$G102)*0.5)/6*2,(4+$G102)/6)) *
_xlfn.IFS(AO$24-$I102 &lt;=1, 5/6, AO$24-$I102 &lt;=5, (7-(AO$24-$I102))/6, AND(AO$24-$I102 =6,NOT(_xlfn.IFNA(ISNUMBER(SEARCH("Rending",$L102)),FALSE))), (7-(AO$24-$I102))/6, AND(AO$24-$I102 &gt;=7,NOT(_xlfn.IFNA(ISNUMBER(SEARCH("Rending",$L102)),FALSE))), 0, AO$24-$I102 =7, (7-(AO$24-1-$I102))/6, AO$24-$I102 =8, (7-(AO$24-2-$I102))/6*2/3, AO$24-$I102 =9, (7-(AO$24-3-$I102))/6*1/3, TRUE, 0) *
IF(ISNUMBER(SEARCH("Ordinance",$L102)),7/6,1) *
IF(OR(ISNUMBER(SEARCH("Melee",$L102)),ISNUMBER(SEARCH("Bypass",$L102))),1.5,1)</f>
        <v>0</v>
      </c>
      <c r="AP102" s="17" cm="1">
        <f t="array" ref="AP102">$H102 *
IF(ISNUMBER(SEARCH("Rapid",$L102)),7/6,1) *
IF(OR(ISNUMBER(SEARCH("Beam",$L102)),ISNUMBER(SEARCH("Firestorm",$L102))),1, IF(ISNUMBER(SEARCH("Blast",$L102)),(4+$G102+(2-$G102)*0.5)/6*2,(4+$G102)/6)) *
_xlfn.IFS(AP$24-$I102 &lt;=1, 5/6, AP$24-$I102 &lt;=5, (7-(AP$24-$I102))/6, AND(AP$24-$I102 =6,NOT(_xlfn.IFNA(ISNUMBER(SEARCH("Rending",$L102)),FALSE))), (7-(AP$24-$I102))/6, AND(AP$24-$I102 &gt;=7,NOT(_xlfn.IFNA(ISNUMBER(SEARCH("Rending",$L102)),FALSE))), 0, AP$24-$I102 =7, (7-(AP$24-1-$I102))/6, AP$24-$I102 =8, (7-(AP$24-2-$I102))/6*2/3, AP$24-$I102 =9, (7-(AP$24-3-$I102))/6*1/3, TRUE, 0) *
IF(ISNUMBER(SEARCH("Ordinance",$L102)),7/6,1) *
IF(OR(ISNUMBER(SEARCH("Melee",$L102)),ISNUMBER(SEARCH("Bypass",$L102))),1.5,1)</f>
        <v>0</v>
      </c>
      <c r="AQ102" s="17" cm="1">
        <f t="array" ref="AQ102">$H102 *
IF(ISNUMBER(SEARCH("Rapid",$L102)),7/6,1) *
IF(OR(ISNUMBER(SEARCH("Beam",$L102)),ISNUMBER(SEARCH("Firestorm",$L102))),1, IF(ISNUMBER(SEARCH("Blast",$L102)),(4+$G102+(2-$G102)*0.5)/6*2,(4+$G102)/6)) *
_xlfn.IFS(AQ$24-$I102 &lt;=1, 5/6, AQ$24-$I102 &lt;=5, (7-(AQ$24-$I102))/6, AND(AQ$24-$I102 =6,NOT(_xlfn.IFNA(ISNUMBER(SEARCH("Rending",$L102)),FALSE))), (7-(AQ$24-$I102))/6, AND(AQ$24-$I102 &gt;=7,NOT(_xlfn.IFNA(ISNUMBER(SEARCH("Rending",$L102)),FALSE))), 0, AQ$24-$I102 =7, (7-(AQ$24-1-$I102))/6, AQ$24-$I102 =8, (7-(AQ$24-2-$I102))/6*2/3, AQ$24-$I102 =9, (7-(AQ$24-3-$I102))/6*1/3, TRUE, 0) *
IF(ISNUMBER(SEARCH("Ordinance",$L102)),7/6,1) *
IF(OR(ISNUMBER(SEARCH("Melee",$L102)),ISNUMBER(SEARCH("Bypass",$L102))),1.5,1)</f>
        <v>0</v>
      </c>
      <c r="AS102" s="16">
        <f t="shared" si="26"/>
        <v>1</v>
      </c>
      <c r="AT102" s="16">
        <f t="shared" si="27"/>
        <v>1.3333333333333333</v>
      </c>
      <c r="AU102" s="16">
        <f t="shared" si="28"/>
        <v>2.2777777777777781</v>
      </c>
      <c r="AV102" s="2">
        <v>10</v>
      </c>
    </row>
    <row r="103" spans="1:48" x14ac:dyDescent="0.3">
      <c r="A103" t="s">
        <v>247</v>
      </c>
      <c r="B103" s="3">
        <v>19</v>
      </c>
      <c r="C103" s="3">
        <v>38</v>
      </c>
      <c r="D103" s="3">
        <v>1</v>
      </c>
      <c r="E103" s="3">
        <v>2</v>
      </c>
      <c r="F103" s="10">
        <v>0</v>
      </c>
      <c r="G103" s="10">
        <v>-1</v>
      </c>
      <c r="H103" s="3">
        <v>6</v>
      </c>
      <c r="I103" s="3">
        <v>8</v>
      </c>
      <c r="J103" s="3" t="s">
        <v>254</v>
      </c>
      <c r="K103" s="3">
        <v>80</v>
      </c>
      <c r="L103" s="3" t="s">
        <v>255</v>
      </c>
      <c r="M103" s="3" t="s">
        <v>236</v>
      </c>
      <c r="N103" s="3">
        <v>11</v>
      </c>
      <c r="O103" s="3">
        <v>11</v>
      </c>
      <c r="P103" s="3">
        <v>15</v>
      </c>
      <c r="Q103" s="3" t="s">
        <v>200</v>
      </c>
      <c r="R103" s="3">
        <v>7</v>
      </c>
      <c r="S103" s="3">
        <v>9</v>
      </c>
      <c r="T103" s="3">
        <v>4</v>
      </c>
      <c r="U103" t="s">
        <v>269</v>
      </c>
      <c r="V103" s="16">
        <f t="shared" si="20"/>
        <v>2</v>
      </c>
      <c r="W103" s="16">
        <f t="shared" si="21"/>
        <v>2.6666666666666665</v>
      </c>
      <c r="X103" s="17" cm="1">
        <f t="array" ref="X103">$H103 *
IF(ISNUMBER(SEARCH("Rapid",$L103)),7/6,1) *
IF(OR(ISNUMBER(SEARCH("Beam",$L103)),ISNUMBER(SEARCH("Firestorm",$L103))),1, IF(ISNUMBER(SEARCH("Blast",$L103)),(4+$F103+(2-$F103)*0.5)/6*2,(4+$F103)/6)) *
IF(ISNUMBER(SEARCH("Fusion",$L103)), _xlfn.IFS(X$24-$I103 &lt;=1, 9/10, X$24-$I103 &lt;=10,(11-(X$24-$I103))/10, X$24-$I103 &gt;=11, 0),
_xlfn.IFS(X$24-$I103 &lt;=1, 5/6, X$24-$I103 &lt;=5, (7-(X$24-$I103))/6, AND(X$24-$I103 =6,NOT(_xlfn.IFNA(ISNUMBER(SEARCH("Rending",$L103)),FALSE))), (7-(X$24-$I103))/6, AND(X$24-$I103 &gt;=7,NOT(_xlfn.IFNA(ISNUMBER(SEARCH("Rending",$L103)),FALSE))), 0, X$24-$I103 =7, (7-(X$24-1-$I103))/6, X$24-$I103 =8, (7-(X$24-2-$I103))/6*2/3, X$24-$I103 =9, (7-(X$24-3-$I103))/6*1/3, TRUE, 0)) *
IF(ISNUMBER(SEARCH("Ordinance",$L103)),7/6,1) *
IF(OR(ISNUMBER(SEARCH("Melee",$L103)),ISNUMBER(SEARCH("Bypass",$L103))),1.5,1)</f>
        <v>3.3333333333333335</v>
      </c>
      <c r="Y103" s="17" cm="1">
        <f t="array" ref="Y103">$H103 *
IF(ISNUMBER(SEARCH("Rapid",$L103)),7/6,1) *
IF(OR(ISNUMBER(SEARCH("Beam",$L103)),ISNUMBER(SEARCH("Firestorm",$L103))),1, IF(ISNUMBER(SEARCH("Blast",$L103)),(4+$F103+(2-$F103)*0.5)/6*2,(4+$F103)/6)) *
IF(ISNUMBER(SEARCH("Fusion",$L103)), _xlfn.IFS(Y$24-$I103 &lt;=1, 9/10, Y$24-$I103 &lt;=10,(11-(Y$24-$I103))/10, Y$24-$I103 &gt;=11, 0),
_xlfn.IFS(Y$24-$I103 &lt;=1, 5/6, Y$24-$I103 &lt;=5, (7-(Y$24-$I103))/6, AND(Y$24-$I103 =6,NOT(_xlfn.IFNA(ISNUMBER(SEARCH("Rending",$L103)),FALSE))), (7-(Y$24-$I103))/6, AND(Y$24-$I103 &gt;=7,NOT(_xlfn.IFNA(ISNUMBER(SEARCH("Rending",$L103)),FALSE))), 0, Y$24-$I103 =7, (7-(Y$24-1-$I103))/6, Y$24-$I103 =8, (7-(Y$24-2-$I103))/6*2/3, Y$24-$I103 =9, (7-(Y$24-3-$I103))/6*1/3, TRUE, 0)) *
IF(ISNUMBER(SEARCH("Ordinance",$L103)),7/6,1) *
IF(OR(ISNUMBER(SEARCH("Melee",$L103)),ISNUMBER(SEARCH("Bypass",$L103))),1.5,1)</f>
        <v>3.3333333333333335</v>
      </c>
      <c r="Z103" s="17" cm="1">
        <f t="array" ref="Z103">$H103 *
IF(ISNUMBER(SEARCH("Rapid",$L103)),7/6,1) *
IF(OR(ISNUMBER(SEARCH("Beam",$L103)),ISNUMBER(SEARCH("Firestorm",$L103))),1, IF(ISNUMBER(SEARCH("Blast",$L103)),(4+$F103+(2-$F103)*0.5)/6*2,(4+$F103)/6)) *
IF(ISNUMBER(SEARCH("Fusion",$L103)), _xlfn.IFS(Z$24-$I103 &lt;=1, 9/10, Z$24-$I103 &lt;=10,(11-(Z$24-$I103))/10, Z$24-$I103 &gt;=11, 0),
_xlfn.IFS(Z$24-$I103 &lt;=1, 5/6, Z$24-$I103 &lt;=5, (7-(Z$24-$I103))/6, AND(Z$24-$I103 =6,NOT(_xlfn.IFNA(ISNUMBER(SEARCH("Rending",$L103)),FALSE))), (7-(Z$24-$I103))/6, AND(Z$24-$I103 &gt;=7,NOT(_xlfn.IFNA(ISNUMBER(SEARCH("Rending",$L103)),FALSE))), 0, Z$24-$I103 =7, (7-(Z$24-1-$I103))/6, Z$24-$I103 =8, (7-(Z$24-2-$I103))/6*2/3, Z$24-$I103 =9, (7-(Z$24-3-$I103))/6*1/3, TRUE, 0)) *
IF(ISNUMBER(SEARCH("Ordinance",$L103)),7/6,1) *
IF(OR(ISNUMBER(SEARCH("Melee",$L103)),ISNUMBER(SEARCH("Bypass",$L103))),1.5,1)</f>
        <v>2.6666666666666665</v>
      </c>
      <c r="AA103" s="17" cm="1">
        <f t="array" ref="AA103">$H103 *
IF(ISNUMBER(SEARCH("Rapid",$L103)),7/6,1) *
IF(OR(ISNUMBER(SEARCH("Beam",$L103)),ISNUMBER(SEARCH("Firestorm",$L103))),1, IF(ISNUMBER(SEARCH("Blast",$L103)),(4+$F103+(2-$F103)*0.5)/6*2,(4+$F103)/6)) *
IF(ISNUMBER(SEARCH("Fusion",$L103)), _xlfn.IFS(AA$24-$I103 &lt;=1, 9/10, AA$24-$I103 &lt;=10,(11-(AA$24-$I103))/10, AA$24-$I103 &gt;=11, 0),
_xlfn.IFS(AA$24-$I103 &lt;=1, 5/6, AA$24-$I103 &lt;=5, (7-(AA$24-$I103))/6, AND(AA$24-$I103 =6,NOT(_xlfn.IFNA(ISNUMBER(SEARCH("Rending",$L103)),FALSE))), (7-(AA$24-$I103))/6, AND(AA$24-$I103 &gt;=7,NOT(_xlfn.IFNA(ISNUMBER(SEARCH("Rending",$L103)),FALSE))), 0, AA$24-$I103 =7, (7-(AA$24-1-$I103))/6, AA$24-$I103 =8, (7-(AA$24-2-$I103))/6*2/3, AA$24-$I103 =9, (7-(AA$24-3-$I103))/6*1/3, TRUE, 0)) *
IF(ISNUMBER(SEARCH("Ordinance",$L103)),7/6,1) *
IF(OR(ISNUMBER(SEARCH("Melee",$L103)),ISNUMBER(SEARCH("Bypass",$L103))),1.5,1)</f>
        <v>2</v>
      </c>
      <c r="AB103" s="17" cm="1">
        <f t="array" ref="AB103">$H103 *
IF(ISNUMBER(SEARCH("Rapid",$L103)),7/6,1) *
IF(OR(ISNUMBER(SEARCH("Beam",$L103)),ISNUMBER(SEARCH("Firestorm",$L103))),1, IF(ISNUMBER(SEARCH("Blast",$L103)),(4+$F103+(2-$F103)*0.5)/6*2,(4+$F103)/6)) *
IF(ISNUMBER(SEARCH("Fusion",$L103)), _xlfn.IFS(AB$24-$I103 &lt;=1, 9/10, AB$24-$I103 &lt;=10,(11-(AB$24-$I103))/10, AB$24-$I103 &gt;=11, 0),
_xlfn.IFS(AB$24-$I103 &lt;=1, 5/6, AB$24-$I103 &lt;=5, (7-(AB$24-$I103))/6, AND(AB$24-$I103 =6,NOT(_xlfn.IFNA(ISNUMBER(SEARCH("Rending",$L103)),FALSE))), (7-(AB$24-$I103))/6, AND(AB$24-$I103 &gt;=7,NOT(_xlfn.IFNA(ISNUMBER(SEARCH("Rending",$L103)),FALSE))), 0, AB$24-$I103 =7, (7-(AB$24-1-$I103))/6, AB$24-$I103 =8, (7-(AB$24-2-$I103))/6*2/3, AB$24-$I103 =9, (7-(AB$24-3-$I103))/6*1/3, TRUE, 0)) *
IF(ISNUMBER(SEARCH("Ordinance",$L103)),7/6,1) *
IF(OR(ISNUMBER(SEARCH("Melee",$L103)),ISNUMBER(SEARCH("Bypass",$L103))),1.5,1)</f>
        <v>1.3333333333333333</v>
      </c>
      <c r="AC103" s="17" cm="1">
        <f t="array" ref="AC103">$H103 *
IF(ISNUMBER(SEARCH("Rapid",$L103)),7/6,1) *
IF(OR(ISNUMBER(SEARCH("Beam",$L103)),ISNUMBER(SEARCH("Firestorm",$L103))),1, IF(ISNUMBER(SEARCH("Blast",$L103)),(4+$F103+(2-$F103)*0.5)/6*2,(4+$F103)/6)) *
IF(ISNUMBER(SEARCH("Fusion",$L103)), _xlfn.IFS(AC$24-$I103 &lt;=1, 9/10, AC$24-$I103 &lt;=10,(11-(AC$24-$I103))/10, AC$24-$I103 &gt;=11, 0),
_xlfn.IFS(AC$24-$I103 &lt;=1, 5/6, AC$24-$I103 &lt;=5, (7-(AC$24-$I103))/6, AND(AC$24-$I103 =6,NOT(_xlfn.IFNA(ISNUMBER(SEARCH("Rending",$L103)),FALSE))), (7-(AC$24-$I103))/6, AND(AC$24-$I103 &gt;=7,NOT(_xlfn.IFNA(ISNUMBER(SEARCH("Rending",$L103)),FALSE))), 0, AC$24-$I103 =7, (7-(AC$24-1-$I103))/6, AC$24-$I103 =8, (7-(AC$24-2-$I103))/6*2/3, AC$24-$I103 =9, (7-(AC$24-3-$I103))/6*1/3, TRUE, 0)) *
IF(ISNUMBER(SEARCH("Ordinance",$L103)),7/6,1) *
IF(OR(ISNUMBER(SEARCH("Melee",$L103)),ISNUMBER(SEARCH("Bypass",$L103))),1.5,1)</f>
        <v>0.66666666666666663</v>
      </c>
      <c r="AD103" s="17" cm="1">
        <f t="array" ref="AD103">$H103 *
IF(ISNUMBER(SEARCH("Rapid",$L103)),7/6,1) *
IF(OR(ISNUMBER(SEARCH("Beam",$L103)),ISNUMBER(SEARCH("Firestorm",$L103))),1, IF(ISNUMBER(SEARCH("Blast",$L103)),(4+$F103+(2-$F103)*0.5)/6*2,(4+$F103)/6)) *
IF(ISNUMBER(SEARCH("Fusion",$L103)), _xlfn.IFS(AD$24-$I103 &lt;=1, 9/10, AD$24-$I103 &lt;=10,(11-(AD$24-$I103))/10, AD$24-$I103 &gt;=11, 0),
_xlfn.IFS(AD$24-$I103 &lt;=1, 5/6, AD$24-$I103 &lt;=5, (7-(AD$24-$I103))/6, AND(AD$24-$I103 =6,NOT(_xlfn.IFNA(ISNUMBER(SEARCH("Rending",$L103)),FALSE))), (7-(AD$24-$I103))/6, AND(AD$24-$I103 &gt;=7,NOT(_xlfn.IFNA(ISNUMBER(SEARCH("Rending",$L103)),FALSE))), 0, AD$24-$I103 =7, (7-(AD$24-1-$I103))/6, AD$24-$I103 =8, (7-(AD$24-2-$I103))/6*2/3, AD$24-$I103 =9, (7-(AD$24-3-$I103))/6*1/3, TRUE, 0)) *
IF(ISNUMBER(SEARCH("Ordinance",$L103)),7/6,1) *
IF(OR(ISNUMBER(SEARCH("Melee",$L103)),ISNUMBER(SEARCH("Bypass",$L103))),1.5,1)</f>
        <v>0</v>
      </c>
      <c r="AE103" s="17" cm="1">
        <f t="array" ref="AE103">$H103 *
IF(ISNUMBER(SEARCH("Rapid",$L103)),7/6,1) *
IF(OR(ISNUMBER(SEARCH("Beam",$L103)),ISNUMBER(SEARCH("Firestorm",$L103))),1, IF(ISNUMBER(SEARCH("Blast",$L103)),(4+$F103+(2-$F103)*0.5)/6*2,(4+$F103)/6)) *
IF(ISNUMBER(SEARCH("Fusion",$L103)), _xlfn.IFS(AE$24-$I103 &lt;=1, 9/10, AE$24-$I103 &lt;=10,(11-(AE$24-$I103))/10, AE$24-$I103 &gt;=11, 0),
_xlfn.IFS(AE$24-$I103 &lt;=1, 5/6, AE$24-$I103 &lt;=5, (7-(AE$24-$I103))/6, AND(AE$24-$I103 =6,NOT(_xlfn.IFNA(ISNUMBER(SEARCH("Rending",$L103)),FALSE))), (7-(AE$24-$I103))/6, AND(AE$24-$I103 &gt;=7,NOT(_xlfn.IFNA(ISNUMBER(SEARCH("Rending",$L103)),FALSE))), 0, AE$24-$I103 =7, (7-(AE$24-1-$I103))/6, AE$24-$I103 =8, (7-(AE$24-2-$I103))/6*2/3, AE$24-$I103 =9, (7-(AE$24-3-$I103))/6*1/3, TRUE, 0)) *
IF(ISNUMBER(SEARCH("Ordinance",$L103)),7/6,1) *
IF(OR(ISNUMBER(SEARCH("Melee",$L103)),ISNUMBER(SEARCH("Bypass",$L103))),1.5,1)</f>
        <v>0</v>
      </c>
      <c r="AF103" s="17" cm="1">
        <f t="array" ref="AF103">$H103 *
IF(ISNUMBER(SEARCH("Rapid",$L103)),7/6,1) *
IF(OR(ISNUMBER(SEARCH("Beam",$L103)),ISNUMBER(SEARCH("Firestorm",$L103))),1, IF(ISNUMBER(SEARCH("Blast",$L103)),(4+$F103+(2-$F103)*0.5)/6*2,(4+$F103)/6)) *
IF(ISNUMBER(SEARCH("Fusion",$L103)), _xlfn.IFS(AF$24-$I103 &lt;=1, 9/10, AF$24-$I103 &lt;=10,(11-(AF$24-$I103))/10, AF$24-$I103 &gt;=11, 0),
_xlfn.IFS(AF$24-$I103 &lt;=1, 5/6, AF$24-$I103 &lt;=5, (7-(AF$24-$I103))/6, AND(AF$24-$I103 =6,NOT(_xlfn.IFNA(ISNUMBER(SEARCH("Rending",$L103)),FALSE))), (7-(AF$24-$I103))/6, AND(AF$24-$I103 &gt;=7,NOT(_xlfn.IFNA(ISNUMBER(SEARCH("Rending",$L103)),FALSE))), 0, AF$24-$I103 =7, (7-(AF$24-1-$I103))/6, AF$24-$I103 =8, (7-(AF$24-2-$I103))/6*2/3, AF$24-$I103 =9, (7-(AF$24-3-$I103))/6*1/3, TRUE, 0)) *
IF(ISNUMBER(SEARCH("Ordinance",$L103)),7/6,1) *
IF(OR(ISNUMBER(SEARCH("Melee",$L103)),ISNUMBER(SEARCH("Bypass",$L103))),1.5,1)</f>
        <v>0</v>
      </c>
      <c r="AG103" s="16">
        <f t="shared" si="22"/>
        <v>1.5</v>
      </c>
      <c r="AH103" s="16">
        <f t="shared" si="23"/>
        <v>2</v>
      </c>
      <c r="AI103" s="17" cm="1">
        <f t="array" ref="AI103">$H103 *
IF(ISNUMBER(SEARCH("Rapid",$L103)),7/6,1) *
IF(OR(ISNUMBER(SEARCH("Beam",$L103)),ISNUMBER(SEARCH("Firestorm",$L103))),1, IF(ISNUMBER(SEARCH("Blast",$L103)),(4+$G103+(2-$G103)*0.5)/6*2,(4+$G103)/6)) *
_xlfn.IFS(AI$24-$I103 &lt;=1, 5/6, AI$24-$I103 &lt;=5, (7-(AI$24-$I103))/6, AND(AI$24-$I103 =6,NOT(_xlfn.IFNA(ISNUMBER(SEARCH("Rending",$L103)),FALSE))), (7-(AI$24-$I103))/6, AND(AI$24-$I103 &gt;=7,NOT(_xlfn.IFNA(ISNUMBER(SEARCH("Rending",$L103)),FALSE))), 0, AI$24-$I103 =7, (7-(AI$24-1-$I103))/6, AI$24-$I103 =8, (7-(AI$24-2-$I103))/6*2/3, AI$24-$I103 =9, (7-(AI$24-3-$I103))/6*1/3, TRUE, 0) *
IF(ISNUMBER(SEARCH("Ordinance",$L103)),7/6,1) *
IF(OR(ISNUMBER(SEARCH("Melee",$L103)),ISNUMBER(SEARCH("Bypass",$L103))),1.5,1)</f>
        <v>2.5</v>
      </c>
      <c r="AJ103" s="17" cm="1">
        <f t="array" ref="AJ103">$H103 *
IF(ISNUMBER(SEARCH("Rapid",$L103)),7/6,1) *
IF(OR(ISNUMBER(SEARCH("Beam",$L103)),ISNUMBER(SEARCH("Firestorm",$L103))),1, IF(ISNUMBER(SEARCH("Blast",$L103)),(4+$G103+(2-$G103)*0.5)/6*2,(4+$G103)/6)) *
_xlfn.IFS(AJ$24-$I103 &lt;=1, 5/6, AJ$24-$I103 &lt;=5, (7-(AJ$24-$I103))/6, AND(AJ$24-$I103 =6,NOT(_xlfn.IFNA(ISNUMBER(SEARCH("Rending",$L103)),FALSE))), (7-(AJ$24-$I103))/6, AND(AJ$24-$I103 &gt;=7,NOT(_xlfn.IFNA(ISNUMBER(SEARCH("Rending",$L103)),FALSE))), 0, AJ$24-$I103 =7, (7-(AJ$24-1-$I103))/6, AJ$24-$I103 =8, (7-(AJ$24-2-$I103))/6*2/3, AJ$24-$I103 =9, (7-(AJ$24-3-$I103))/6*1/3, TRUE, 0) *
IF(ISNUMBER(SEARCH("Ordinance",$L103)),7/6,1) *
IF(OR(ISNUMBER(SEARCH("Melee",$L103)),ISNUMBER(SEARCH("Bypass",$L103))),1.5,1)</f>
        <v>2.5</v>
      </c>
      <c r="AK103" s="17" cm="1">
        <f t="array" ref="AK103">$H103 *
IF(ISNUMBER(SEARCH("Rapid",$L103)),7/6,1) *
IF(OR(ISNUMBER(SEARCH("Beam",$L103)),ISNUMBER(SEARCH("Firestorm",$L103))),1, IF(ISNUMBER(SEARCH("Blast",$L103)),(4+$G103+(2-$G103)*0.5)/6*2,(4+$G103)/6)) *
_xlfn.IFS(AK$24-$I103 &lt;=1, 5/6, AK$24-$I103 &lt;=5, (7-(AK$24-$I103))/6, AND(AK$24-$I103 =6,NOT(_xlfn.IFNA(ISNUMBER(SEARCH("Rending",$L103)),FALSE))), (7-(AK$24-$I103))/6, AND(AK$24-$I103 &gt;=7,NOT(_xlfn.IFNA(ISNUMBER(SEARCH("Rending",$L103)),FALSE))), 0, AK$24-$I103 =7, (7-(AK$24-1-$I103))/6, AK$24-$I103 =8, (7-(AK$24-2-$I103))/6*2/3, AK$24-$I103 =9, (7-(AK$24-3-$I103))/6*1/3, TRUE, 0) *
IF(ISNUMBER(SEARCH("Ordinance",$L103)),7/6,1) *
IF(OR(ISNUMBER(SEARCH("Melee",$L103)),ISNUMBER(SEARCH("Bypass",$L103))),1.5,1)</f>
        <v>2</v>
      </c>
      <c r="AL103" s="17" cm="1">
        <f t="array" ref="AL103">$H103 *
IF(ISNUMBER(SEARCH("Rapid",$L103)),7/6,1) *
IF(OR(ISNUMBER(SEARCH("Beam",$L103)),ISNUMBER(SEARCH("Firestorm",$L103))),1, IF(ISNUMBER(SEARCH("Blast",$L103)),(4+$G103+(2-$G103)*0.5)/6*2,(4+$G103)/6)) *
_xlfn.IFS(AL$24-$I103 &lt;=1, 5/6, AL$24-$I103 &lt;=5, (7-(AL$24-$I103))/6, AND(AL$24-$I103 =6,NOT(_xlfn.IFNA(ISNUMBER(SEARCH("Rending",$L103)),FALSE))), (7-(AL$24-$I103))/6, AND(AL$24-$I103 &gt;=7,NOT(_xlfn.IFNA(ISNUMBER(SEARCH("Rending",$L103)),FALSE))), 0, AL$24-$I103 =7, (7-(AL$24-1-$I103))/6, AL$24-$I103 =8, (7-(AL$24-2-$I103))/6*2/3, AL$24-$I103 =9, (7-(AL$24-3-$I103))/6*1/3, TRUE, 0) *
IF(ISNUMBER(SEARCH("Ordinance",$L103)),7/6,1) *
IF(OR(ISNUMBER(SEARCH("Melee",$L103)),ISNUMBER(SEARCH("Bypass",$L103))),1.5,1)</f>
        <v>1.5</v>
      </c>
      <c r="AM103" s="17" cm="1">
        <f t="array" ref="AM103">$H103 *
IF(ISNUMBER(SEARCH("Rapid",$L103)),7/6,1) *
IF(OR(ISNUMBER(SEARCH("Beam",$L103)),ISNUMBER(SEARCH("Firestorm",$L103))),1, IF(ISNUMBER(SEARCH("Blast",$L103)),(4+$G103+(2-$G103)*0.5)/6*2,(4+$G103)/6)) *
_xlfn.IFS(AM$24-$I103 &lt;=1, 5/6, AM$24-$I103 &lt;=5, (7-(AM$24-$I103))/6, AND(AM$24-$I103 =6,NOT(_xlfn.IFNA(ISNUMBER(SEARCH("Rending",$L103)),FALSE))), (7-(AM$24-$I103))/6, AND(AM$24-$I103 &gt;=7,NOT(_xlfn.IFNA(ISNUMBER(SEARCH("Rending",$L103)),FALSE))), 0, AM$24-$I103 =7, (7-(AM$24-1-$I103))/6, AM$24-$I103 =8, (7-(AM$24-2-$I103))/6*2/3, AM$24-$I103 =9, (7-(AM$24-3-$I103))/6*1/3, TRUE, 0) *
IF(ISNUMBER(SEARCH("Ordinance",$L103)),7/6,1) *
IF(OR(ISNUMBER(SEARCH("Melee",$L103)),ISNUMBER(SEARCH("Bypass",$L103))),1.5,1)</f>
        <v>1</v>
      </c>
      <c r="AN103" s="17" cm="1">
        <f t="array" ref="AN103">$H103 *
IF(ISNUMBER(SEARCH("Rapid",$L103)),7/6,1) *
IF(OR(ISNUMBER(SEARCH("Beam",$L103)),ISNUMBER(SEARCH("Firestorm",$L103))),1, IF(ISNUMBER(SEARCH("Blast",$L103)),(4+$G103+(2-$G103)*0.5)/6*2,(4+$G103)/6)) *
_xlfn.IFS(AN$24-$I103 &lt;=1, 5/6, AN$24-$I103 &lt;=5, (7-(AN$24-$I103))/6, AND(AN$24-$I103 =6,NOT(_xlfn.IFNA(ISNUMBER(SEARCH("Rending",$L103)),FALSE))), (7-(AN$24-$I103))/6, AND(AN$24-$I103 &gt;=7,NOT(_xlfn.IFNA(ISNUMBER(SEARCH("Rending",$L103)),FALSE))), 0, AN$24-$I103 =7, (7-(AN$24-1-$I103))/6, AN$24-$I103 =8, (7-(AN$24-2-$I103))/6*2/3, AN$24-$I103 =9, (7-(AN$24-3-$I103))/6*1/3, TRUE, 0) *
IF(ISNUMBER(SEARCH("Ordinance",$L103)),7/6,1) *
IF(OR(ISNUMBER(SEARCH("Melee",$L103)),ISNUMBER(SEARCH("Bypass",$L103))),1.5,1)</f>
        <v>0.5</v>
      </c>
      <c r="AO103" s="17" cm="1">
        <f t="array" ref="AO103">$H103 *
IF(ISNUMBER(SEARCH("Rapid",$L103)),7/6,1) *
IF(OR(ISNUMBER(SEARCH("Beam",$L103)),ISNUMBER(SEARCH("Firestorm",$L103))),1, IF(ISNUMBER(SEARCH("Blast",$L103)),(4+$G103+(2-$G103)*0.5)/6*2,(4+$G103)/6)) *
_xlfn.IFS(AO$24-$I103 &lt;=1, 5/6, AO$24-$I103 &lt;=5, (7-(AO$24-$I103))/6, AND(AO$24-$I103 =6,NOT(_xlfn.IFNA(ISNUMBER(SEARCH("Rending",$L103)),FALSE))), (7-(AO$24-$I103))/6, AND(AO$24-$I103 &gt;=7,NOT(_xlfn.IFNA(ISNUMBER(SEARCH("Rending",$L103)),FALSE))), 0, AO$24-$I103 =7, (7-(AO$24-1-$I103))/6, AO$24-$I103 =8, (7-(AO$24-2-$I103))/6*2/3, AO$24-$I103 =9, (7-(AO$24-3-$I103))/6*1/3, TRUE, 0) *
IF(ISNUMBER(SEARCH("Ordinance",$L103)),7/6,1) *
IF(OR(ISNUMBER(SEARCH("Melee",$L103)),ISNUMBER(SEARCH("Bypass",$L103))),1.5,1)</f>
        <v>0</v>
      </c>
      <c r="AP103" s="17" cm="1">
        <f t="array" ref="AP103">$H103 *
IF(ISNUMBER(SEARCH("Rapid",$L103)),7/6,1) *
IF(OR(ISNUMBER(SEARCH("Beam",$L103)),ISNUMBER(SEARCH("Firestorm",$L103))),1, IF(ISNUMBER(SEARCH("Blast",$L103)),(4+$G103+(2-$G103)*0.5)/6*2,(4+$G103)/6)) *
_xlfn.IFS(AP$24-$I103 &lt;=1, 5/6, AP$24-$I103 &lt;=5, (7-(AP$24-$I103))/6, AND(AP$24-$I103 =6,NOT(_xlfn.IFNA(ISNUMBER(SEARCH("Rending",$L103)),FALSE))), (7-(AP$24-$I103))/6, AND(AP$24-$I103 &gt;=7,NOT(_xlfn.IFNA(ISNUMBER(SEARCH("Rending",$L103)),FALSE))), 0, AP$24-$I103 =7, (7-(AP$24-1-$I103))/6, AP$24-$I103 =8, (7-(AP$24-2-$I103))/6*2/3, AP$24-$I103 =9, (7-(AP$24-3-$I103))/6*1/3, TRUE, 0) *
IF(ISNUMBER(SEARCH("Ordinance",$L103)),7/6,1) *
IF(OR(ISNUMBER(SEARCH("Melee",$L103)),ISNUMBER(SEARCH("Bypass",$L103))),1.5,1)</f>
        <v>0</v>
      </c>
      <c r="AQ103" s="17" cm="1">
        <f t="array" ref="AQ103">$H103 *
IF(ISNUMBER(SEARCH("Rapid",$L103)),7/6,1) *
IF(OR(ISNUMBER(SEARCH("Beam",$L103)),ISNUMBER(SEARCH("Firestorm",$L103))),1, IF(ISNUMBER(SEARCH("Blast",$L103)),(4+$G103+(2-$G103)*0.5)/6*2,(4+$G103)/6)) *
_xlfn.IFS(AQ$24-$I103 &lt;=1, 5/6, AQ$24-$I103 &lt;=5, (7-(AQ$24-$I103))/6, AND(AQ$24-$I103 =6,NOT(_xlfn.IFNA(ISNUMBER(SEARCH("Rending",$L103)),FALSE))), (7-(AQ$24-$I103))/6, AND(AQ$24-$I103 &gt;=7,NOT(_xlfn.IFNA(ISNUMBER(SEARCH("Rending",$L103)),FALSE))), 0, AQ$24-$I103 =7, (7-(AQ$24-1-$I103))/6, AQ$24-$I103 =8, (7-(AQ$24-2-$I103))/6*2/3, AQ$24-$I103 =9, (7-(AQ$24-3-$I103))/6*1/3, TRUE, 0) *
IF(ISNUMBER(SEARCH("Ordinance",$L103)),7/6,1) *
IF(OR(ISNUMBER(SEARCH("Melee",$L103)),ISNUMBER(SEARCH("Bypass",$L103))),1.5,1)</f>
        <v>0</v>
      </c>
      <c r="AS103" s="16">
        <f t="shared" si="26"/>
        <v>1</v>
      </c>
      <c r="AT103" s="16">
        <f t="shared" si="27"/>
        <v>1.3333333333333333</v>
      </c>
      <c r="AU103" s="16">
        <f t="shared" si="28"/>
        <v>2.2777777777777781</v>
      </c>
      <c r="AV103" s="2">
        <v>10</v>
      </c>
    </row>
    <row r="104" spans="1:48" x14ac:dyDescent="0.3">
      <c r="A104" t="s">
        <v>281</v>
      </c>
      <c r="B104" s="3">
        <v>19</v>
      </c>
      <c r="C104" s="3">
        <v>38</v>
      </c>
      <c r="D104" s="3">
        <v>1</v>
      </c>
      <c r="E104" s="3">
        <v>2</v>
      </c>
      <c r="F104" s="10">
        <v>0</v>
      </c>
      <c r="G104" s="10">
        <v>-1</v>
      </c>
      <c r="H104" s="3">
        <v>6</v>
      </c>
      <c r="I104" s="3">
        <v>8</v>
      </c>
      <c r="J104" s="3" t="s">
        <v>254</v>
      </c>
      <c r="K104" s="3">
        <v>105</v>
      </c>
      <c r="L104" s="3" t="s">
        <v>255</v>
      </c>
      <c r="M104" s="3" t="s">
        <v>199</v>
      </c>
      <c r="N104" s="3">
        <v>11</v>
      </c>
      <c r="O104" s="3">
        <v>11</v>
      </c>
      <c r="P104" s="3">
        <v>15</v>
      </c>
      <c r="Q104" s="3" t="s">
        <v>200</v>
      </c>
      <c r="R104" s="3">
        <v>7</v>
      </c>
      <c r="S104" s="3">
        <v>9</v>
      </c>
      <c r="T104" s="3">
        <v>4</v>
      </c>
      <c r="U104" t="s">
        <v>269</v>
      </c>
      <c r="V104" s="16">
        <f t="shared" si="20"/>
        <v>2</v>
      </c>
      <c r="W104" s="16">
        <f t="shared" si="21"/>
        <v>2.6666666666666665</v>
      </c>
      <c r="X104" s="17" cm="1">
        <f t="array" ref="X104">$H104 *
IF(ISNUMBER(SEARCH("Rapid",$L104)),7/6,1) *
IF(OR(ISNUMBER(SEARCH("Beam",$L104)),ISNUMBER(SEARCH("Firestorm",$L104))),1, IF(ISNUMBER(SEARCH("Blast",$L104)),(4+$F104+(2-$F104)*0.5)/6*2,(4+$F104)/6)) *
IF(ISNUMBER(SEARCH("Fusion",$L104)), _xlfn.IFS(X$24-$I104 &lt;=1, 9/10, X$24-$I104 &lt;=10,(11-(X$24-$I104))/10, X$24-$I104 &gt;=11, 0),
_xlfn.IFS(X$24-$I104 &lt;=1, 5/6, X$24-$I104 &lt;=5, (7-(X$24-$I104))/6, AND(X$24-$I104 =6,NOT(_xlfn.IFNA(ISNUMBER(SEARCH("Rending",$L104)),FALSE))), (7-(X$24-$I104))/6, AND(X$24-$I104 &gt;=7,NOT(_xlfn.IFNA(ISNUMBER(SEARCH("Rending",$L104)),FALSE))), 0, X$24-$I104 =7, (7-(X$24-1-$I104))/6, X$24-$I104 =8, (7-(X$24-2-$I104))/6*2/3, X$24-$I104 =9, (7-(X$24-3-$I104))/6*1/3, TRUE, 0)) *
IF(ISNUMBER(SEARCH("Ordinance",$L104)),7/6,1) *
IF(OR(ISNUMBER(SEARCH("Melee",$L104)),ISNUMBER(SEARCH("Bypass",$L104))),1.5,1)</f>
        <v>3.3333333333333335</v>
      </c>
      <c r="Y104" s="17" cm="1">
        <f t="array" ref="Y104">$H104 *
IF(ISNUMBER(SEARCH("Rapid",$L104)),7/6,1) *
IF(OR(ISNUMBER(SEARCH("Beam",$L104)),ISNUMBER(SEARCH("Firestorm",$L104))),1, IF(ISNUMBER(SEARCH("Blast",$L104)),(4+$F104+(2-$F104)*0.5)/6*2,(4+$F104)/6)) *
IF(ISNUMBER(SEARCH("Fusion",$L104)), _xlfn.IFS(Y$24-$I104 &lt;=1, 9/10, Y$24-$I104 &lt;=10,(11-(Y$24-$I104))/10, Y$24-$I104 &gt;=11, 0),
_xlfn.IFS(Y$24-$I104 &lt;=1, 5/6, Y$24-$I104 &lt;=5, (7-(Y$24-$I104))/6, AND(Y$24-$I104 =6,NOT(_xlfn.IFNA(ISNUMBER(SEARCH("Rending",$L104)),FALSE))), (7-(Y$24-$I104))/6, AND(Y$24-$I104 &gt;=7,NOT(_xlfn.IFNA(ISNUMBER(SEARCH("Rending",$L104)),FALSE))), 0, Y$24-$I104 =7, (7-(Y$24-1-$I104))/6, Y$24-$I104 =8, (7-(Y$24-2-$I104))/6*2/3, Y$24-$I104 =9, (7-(Y$24-3-$I104))/6*1/3, TRUE, 0)) *
IF(ISNUMBER(SEARCH("Ordinance",$L104)),7/6,1) *
IF(OR(ISNUMBER(SEARCH("Melee",$L104)),ISNUMBER(SEARCH("Bypass",$L104))),1.5,1)</f>
        <v>3.3333333333333335</v>
      </c>
      <c r="Z104" s="17" cm="1">
        <f t="array" ref="Z104">$H104 *
IF(ISNUMBER(SEARCH("Rapid",$L104)),7/6,1) *
IF(OR(ISNUMBER(SEARCH("Beam",$L104)),ISNUMBER(SEARCH("Firestorm",$L104))),1, IF(ISNUMBER(SEARCH("Blast",$L104)),(4+$F104+(2-$F104)*0.5)/6*2,(4+$F104)/6)) *
IF(ISNUMBER(SEARCH("Fusion",$L104)), _xlfn.IFS(Z$24-$I104 &lt;=1, 9/10, Z$24-$I104 &lt;=10,(11-(Z$24-$I104))/10, Z$24-$I104 &gt;=11, 0),
_xlfn.IFS(Z$24-$I104 &lt;=1, 5/6, Z$24-$I104 &lt;=5, (7-(Z$24-$I104))/6, AND(Z$24-$I104 =6,NOT(_xlfn.IFNA(ISNUMBER(SEARCH("Rending",$L104)),FALSE))), (7-(Z$24-$I104))/6, AND(Z$24-$I104 &gt;=7,NOT(_xlfn.IFNA(ISNUMBER(SEARCH("Rending",$L104)),FALSE))), 0, Z$24-$I104 =7, (7-(Z$24-1-$I104))/6, Z$24-$I104 =8, (7-(Z$24-2-$I104))/6*2/3, Z$24-$I104 =9, (7-(Z$24-3-$I104))/6*1/3, TRUE, 0)) *
IF(ISNUMBER(SEARCH("Ordinance",$L104)),7/6,1) *
IF(OR(ISNUMBER(SEARCH("Melee",$L104)),ISNUMBER(SEARCH("Bypass",$L104))),1.5,1)</f>
        <v>2.6666666666666665</v>
      </c>
      <c r="AA104" s="17" cm="1">
        <f t="array" ref="AA104">$H104 *
IF(ISNUMBER(SEARCH("Rapid",$L104)),7/6,1) *
IF(OR(ISNUMBER(SEARCH("Beam",$L104)),ISNUMBER(SEARCH("Firestorm",$L104))),1, IF(ISNUMBER(SEARCH("Blast",$L104)),(4+$F104+(2-$F104)*0.5)/6*2,(4+$F104)/6)) *
IF(ISNUMBER(SEARCH("Fusion",$L104)), _xlfn.IFS(AA$24-$I104 &lt;=1, 9/10, AA$24-$I104 &lt;=10,(11-(AA$24-$I104))/10, AA$24-$I104 &gt;=11, 0),
_xlfn.IFS(AA$24-$I104 &lt;=1, 5/6, AA$24-$I104 &lt;=5, (7-(AA$24-$I104))/6, AND(AA$24-$I104 =6,NOT(_xlfn.IFNA(ISNUMBER(SEARCH("Rending",$L104)),FALSE))), (7-(AA$24-$I104))/6, AND(AA$24-$I104 &gt;=7,NOT(_xlfn.IFNA(ISNUMBER(SEARCH("Rending",$L104)),FALSE))), 0, AA$24-$I104 =7, (7-(AA$24-1-$I104))/6, AA$24-$I104 =8, (7-(AA$24-2-$I104))/6*2/3, AA$24-$I104 =9, (7-(AA$24-3-$I104))/6*1/3, TRUE, 0)) *
IF(ISNUMBER(SEARCH("Ordinance",$L104)),7/6,1) *
IF(OR(ISNUMBER(SEARCH("Melee",$L104)),ISNUMBER(SEARCH("Bypass",$L104))),1.5,1)</f>
        <v>2</v>
      </c>
      <c r="AB104" s="17" cm="1">
        <f t="array" ref="AB104">$H104 *
IF(ISNUMBER(SEARCH("Rapid",$L104)),7/6,1) *
IF(OR(ISNUMBER(SEARCH("Beam",$L104)),ISNUMBER(SEARCH("Firestorm",$L104))),1, IF(ISNUMBER(SEARCH("Blast",$L104)),(4+$F104+(2-$F104)*0.5)/6*2,(4+$F104)/6)) *
IF(ISNUMBER(SEARCH("Fusion",$L104)), _xlfn.IFS(AB$24-$I104 &lt;=1, 9/10, AB$24-$I104 &lt;=10,(11-(AB$24-$I104))/10, AB$24-$I104 &gt;=11, 0),
_xlfn.IFS(AB$24-$I104 &lt;=1, 5/6, AB$24-$I104 &lt;=5, (7-(AB$24-$I104))/6, AND(AB$24-$I104 =6,NOT(_xlfn.IFNA(ISNUMBER(SEARCH("Rending",$L104)),FALSE))), (7-(AB$24-$I104))/6, AND(AB$24-$I104 &gt;=7,NOT(_xlfn.IFNA(ISNUMBER(SEARCH("Rending",$L104)),FALSE))), 0, AB$24-$I104 =7, (7-(AB$24-1-$I104))/6, AB$24-$I104 =8, (7-(AB$24-2-$I104))/6*2/3, AB$24-$I104 =9, (7-(AB$24-3-$I104))/6*1/3, TRUE, 0)) *
IF(ISNUMBER(SEARCH("Ordinance",$L104)),7/6,1) *
IF(OR(ISNUMBER(SEARCH("Melee",$L104)),ISNUMBER(SEARCH("Bypass",$L104))),1.5,1)</f>
        <v>1.3333333333333333</v>
      </c>
      <c r="AC104" s="17" cm="1">
        <f t="array" ref="AC104">$H104 *
IF(ISNUMBER(SEARCH("Rapid",$L104)),7/6,1) *
IF(OR(ISNUMBER(SEARCH("Beam",$L104)),ISNUMBER(SEARCH("Firestorm",$L104))),1, IF(ISNUMBER(SEARCH("Blast",$L104)),(4+$F104+(2-$F104)*0.5)/6*2,(4+$F104)/6)) *
IF(ISNUMBER(SEARCH("Fusion",$L104)), _xlfn.IFS(AC$24-$I104 &lt;=1, 9/10, AC$24-$I104 &lt;=10,(11-(AC$24-$I104))/10, AC$24-$I104 &gt;=11, 0),
_xlfn.IFS(AC$24-$I104 &lt;=1, 5/6, AC$24-$I104 &lt;=5, (7-(AC$24-$I104))/6, AND(AC$24-$I104 =6,NOT(_xlfn.IFNA(ISNUMBER(SEARCH("Rending",$L104)),FALSE))), (7-(AC$24-$I104))/6, AND(AC$24-$I104 &gt;=7,NOT(_xlfn.IFNA(ISNUMBER(SEARCH("Rending",$L104)),FALSE))), 0, AC$24-$I104 =7, (7-(AC$24-1-$I104))/6, AC$24-$I104 =8, (7-(AC$24-2-$I104))/6*2/3, AC$24-$I104 =9, (7-(AC$24-3-$I104))/6*1/3, TRUE, 0)) *
IF(ISNUMBER(SEARCH("Ordinance",$L104)),7/6,1) *
IF(OR(ISNUMBER(SEARCH("Melee",$L104)),ISNUMBER(SEARCH("Bypass",$L104))),1.5,1)</f>
        <v>0.66666666666666663</v>
      </c>
      <c r="AD104" s="17" cm="1">
        <f t="array" ref="AD104">$H104 *
IF(ISNUMBER(SEARCH("Rapid",$L104)),7/6,1) *
IF(OR(ISNUMBER(SEARCH("Beam",$L104)),ISNUMBER(SEARCH("Firestorm",$L104))),1, IF(ISNUMBER(SEARCH("Blast",$L104)),(4+$F104+(2-$F104)*0.5)/6*2,(4+$F104)/6)) *
IF(ISNUMBER(SEARCH("Fusion",$L104)), _xlfn.IFS(AD$24-$I104 &lt;=1, 9/10, AD$24-$I104 &lt;=10,(11-(AD$24-$I104))/10, AD$24-$I104 &gt;=11, 0),
_xlfn.IFS(AD$24-$I104 &lt;=1, 5/6, AD$24-$I104 &lt;=5, (7-(AD$24-$I104))/6, AND(AD$24-$I104 =6,NOT(_xlfn.IFNA(ISNUMBER(SEARCH("Rending",$L104)),FALSE))), (7-(AD$24-$I104))/6, AND(AD$24-$I104 &gt;=7,NOT(_xlfn.IFNA(ISNUMBER(SEARCH("Rending",$L104)),FALSE))), 0, AD$24-$I104 =7, (7-(AD$24-1-$I104))/6, AD$24-$I104 =8, (7-(AD$24-2-$I104))/6*2/3, AD$24-$I104 =9, (7-(AD$24-3-$I104))/6*1/3, TRUE, 0)) *
IF(ISNUMBER(SEARCH("Ordinance",$L104)),7/6,1) *
IF(OR(ISNUMBER(SEARCH("Melee",$L104)),ISNUMBER(SEARCH("Bypass",$L104))),1.5,1)</f>
        <v>0</v>
      </c>
      <c r="AE104" s="17" cm="1">
        <f t="array" ref="AE104">$H104 *
IF(ISNUMBER(SEARCH("Rapid",$L104)),7/6,1) *
IF(OR(ISNUMBER(SEARCH("Beam",$L104)),ISNUMBER(SEARCH("Firestorm",$L104))),1, IF(ISNUMBER(SEARCH("Blast",$L104)),(4+$F104+(2-$F104)*0.5)/6*2,(4+$F104)/6)) *
IF(ISNUMBER(SEARCH("Fusion",$L104)), _xlfn.IFS(AE$24-$I104 &lt;=1, 9/10, AE$24-$I104 &lt;=10,(11-(AE$24-$I104))/10, AE$24-$I104 &gt;=11, 0),
_xlfn.IFS(AE$24-$I104 &lt;=1, 5/6, AE$24-$I104 &lt;=5, (7-(AE$24-$I104))/6, AND(AE$24-$I104 =6,NOT(_xlfn.IFNA(ISNUMBER(SEARCH("Rending",$L104)),FALSE))), (7-(AE$24-$I104))/6, AND(AE$24-$I104 &gt;=7,NOT(_xlfn.IFNA(ISNUMBER(SEARCH("Rending",$L104)),FALSE))), 0, AE$24-$I104 =7, (7-(AE$24-1-$I104))/6, AE$24-$I104 =8, (7-(AE$24-2-$I104))/6*2/3, AE$24-$I104 =9, (7-(AE$24-3-$I104))/6*1/3, TRUE, 0)) *
IF(ISNUMBER(SEARCH("Ordinance",$L104)),7/6,1) *
IF(OR(ISNUMBER(SEARCH("Melee",$L104)),ISNUMBER(SEARCH("Bypass",$L104))),1.5,1)</f>
        <v>0</v>
      </c>
      <c r="AF104" s="17" cm="1">
        <f t="array" ref="AF104">$H104 *
IF(ISNUMBER(SEARCH("Rapid",$L104)),7/6,1) *
IF(OR(ISNUMBER(SEARCH("Beam",$L104)),ISNUMBER(SEARCH("Firestorm",$L104))),1, IF(ISNUMBER(SEARCH("Blast",$L104)),(4+$F104+(2-$F104)*0.5)/6*2,(4+$F104)/6)) *
IF(ISNUMBER(SEARCH("Fusion",$L104)), _xlfn.IFS(AF$24-$I104 &lt;=1, 9/10, AF$24-$I104 &lt;=10,(11-(AF$24-$I104))/10, AF$24-$I104 &gt;=11, 0),
_xlfn.IFS(AF$24-$I104 &lt;=1, 5/6, AF$24-$I104 &lt;=5, (7-(AF$24-$I104))/6, AND(AF$24-$I104 =6,NOT(_xlfn.IFNA(ISNUMBER(SEARCH("Rending",$L104)),FALSE))), (7-(AF$24-$I104))/6, AND(AF$24-$I104 &gt;=7,NOT(_xlfn.IFNA(ISNUMBER(SEARCH("Rending",$L104)),FALSE))), 0, AF$24-$I104 =7, (7-(AF$24-1-$I104))/6, AF$24-$I104 =8, (7-(AF$24-2-$I104))/6*2/3, AF$24-$I104 =9, (7-(AF$24-3-$I104))/6*1/3, TRUE, 0)) *
IF(ISNUMBER(SEARCH("Ordinance",$L104)),7/6,1) *
IF(OR(ISNUMBER(SEARCH("Melee",$L104)),ISNUMBER(SEARCH("Bypass",$L104))),1.5,1)</f>
        <v>0</v>
      </c>
      <c r="AG104" s="16">
        <f t="shared" si="22"/>
        <v>1.5</v>
      </c>
      <c r="AH104" s="16">
        <f t="shared" si="23"/>
        <v>2</v>
      </c>
      <c r="AI104" s="17" cm="1">
        <f t="array" ref="AI104">$H104 *
IF(ISNUMBER(SEARCH("Rapid",$L104)),7/6,1) *
IF(OR(ISNUMBER(SEARCH("Beam",$L104)),ISNUMBER(SEARCH("Firestorm",$L104))),1, IF(ISNUMBER(SEARCH("Blast",$L104)),(4+$G104+(2-$G104)*0.5)/6*2,(4+$G104)/6)) *
_xlfn.IFS(AI$24-$I104 &lt;=1, 5/6, AI$24-$I104 &lt;=5, (7-(AI$24-$I104))/6, AND(AI$24-$I104 =6,NOT(_xlfn.IFNA(ISNUMBER(SEARCH("Rending",$L104)),FALSE))), (7-(AI$24-$I104))/6, AND(AI$24-$I104 &gt;=7,NOT(_xlfn.IFNA(ISNUMBER(SEARCH("Rending",$L104)),FALSE))), 0, AI$24-$I104 =7, (7-(AI$24-1-$I104))/6, AI$24-$I104 =8, (7-(AI$24-2-$I104))/6*2/3, AI$24-$I104 =9, (7-(AI$24-3-$I104))/6*1/3, TRUE, 0) *
IF(ISNUMBER(SEARCH("Ordinance",$L104)),7/6,1) *
IF(OR(ISNUMBER(SEARCH("Melee",$L104)),ISNUMBER(SEARCH("Bypass",$L104))),1.5,1)</f>
        <v>2.5</v>
      </c>
      <c r="AJ104" s="17" cm="1">
        <f t="array" ref="AJ104">$H104 *
IF(ISNUMBER(SEARCH("Rapid",$L104)),7/6,1) *
IF(OR(ISNUMBER(SEARCH("Beam",$L104)),ISNUMBER(SEARCH("Firestorm",$L104))),1, IF(ISNUMBER(SEARCH("Blast",$L104)),(4+$G104+(2-$G104)*0.5)/6*2,(4+$G104)/6)) *
_xlfn.IFS(AJ$24-$I104 &lt;=1, 5/6, AJ$24-$I104 &lt;=5, (7-(AJ$24-$I104))/6, AND(AJ$24-$I104 =6,NOT(_xlfn.IFNA(ISNUMBER(SEARCH("Rending",$L104)),FALSE))), (7-(AJ$24-$I104))/6, AND(AJ$24-$I104 &gt;=7,NOT(_xlfn.IFNA(ISNUMBER(SEARCH("Rending",$L104)),FALSE))), 0, AJ$24-$I104 =7, (7-(AJ$24-1-$I104))/6, AJ$24-$I104 =8, (7-(AJ$24-2-$I104))/6*2/3, AJ$24-$I104 =9, (7-(AJ$24-3-$I104))/6*1/3, TRUE, 0) *
IF(ISNUMBER(SEARCH("Ordinance",$L104)),7/6,1) *
IF(OR(ISNUMBER(SEARCH("Melee",$L104)),ISNUMBER(SEARCH("Bypass",$L104))),1.5,1)</f>
        <v>2.5</v>
      </c>
      <c r="AK104" s="17" cm="1">
        <f t="array" ref="AK104">$H104 *
IF(ISNUMBER(SEARCH("Rapid",$L104)),7/6,1) *
IF(OR(ISNUMBER(SEARCH("Beam",$L104)),ISNUMBER(SEARCH("Firestorm",$L104))),1, IF(ISNUMBER(SEARCH("Blast",$L104)),(4+$G104+(2-$G104)*0.5)/6*2,(4+$G104)/6)) *
_xlfn.IFS(AK$24-$I104 &lt;=1, 5/6, AK$24-$I104 &lt;=5, (7-(AK$24-$I104))/6, AND(AK$24-$I104 =6,NOT(_xlfn.IFNA(ISNUMBER(SEARCH("Rending",$L104)),FALSE))), (7-(AK$24-$I104))/6, AND(AK$24-$I104 &gt;=7,NOT(_xlfn.IFNA(ISNUMBER(SEARCH("Rending",$L104)),FALSE))), 0, AK$24-$I104 =7, (7-(AK$24-1-$I104))/6, AK$24-$I104 =8, (7-(AK$24-2-$I104))/6*2/3, AK$24-$I104 =9, (7-(AK$24-3-$I104))/6*1/3, TRUE, 0) *
IF(ISNUMBER(SEARCH("Ordinance",$L104)),7/6,1) *
IF(OR(ISNUMBER(SEARCH("Melee",$L104)),ISNUMBER(SEARCH("Bypass",$L104))),1.5,1)</f>
        <v>2</v>
      </c>
      <c r="AL104" s="17" cm="1">
        <f t="array" ref="AL104">$H104 *
IF(ISNUMBER(SEARCH("Rapid",$L104)),7/6,1) *
IF(OR(ISNUMBER(SEARCH("Beam",$L104)),ISNUMBER(SEARCH("Firestorm",$L104))),1, IF(ISNUMBER(SEARCH("Blast",$L104)),(4+$G104+(2-$G104)*0.5)/6*2,(4+$G104)/6)) *
_xlfn.IFS(AL$24-$I104 &lt;=1, 5/6, AL$24-$I104 &lt;=5, (7-(AL$24-$I104))/6, AND(AL$24-$I104 =6,NOT(_xlfn.IFNA(ISNUMBER(SEARCH("Rending",$L104)),FALSE))), (7-(AL$24-$I104))/6, AND(AL$24-$I104 &gt;=7,NOT(_xlfn.IFNA(ISNUMBER(SEARCH("Rending",$L104)),FALSE))), 0, AL$24-$I104 =7, (7-(AL$24-1-$I104))/6, AL$24-$I104 =8, (7-(AL$24-2-$I104))/6*2/3, AL$24-$I104 =9, (7-(AL$24-3-$I104))/6*1/3, TRUE, 0) *
IF(ISNUMBER(SEARCH("Ordinance",$L104)),7/6,1) *
IF(OR(ISNUMBER(SEARCH("Melee",$L104)),ISNUMBER(SEARCH("Bypass",$L104))),1.5,1)</f>
        <v>1.5</v>
      </c>
      <c r="AM104" s="17" cm="1">
        <f t="array" ref="AM104">$H104 *
IF(ISNUMBER(SEARCH("Rapid",$L104)),7/6,1) *
IF(OR(ISNUMBER(SEARCH("Beam",$L104)),ISNUMBER(SEARCH("Firestorm",$L104))),1, IF(ISNUMBER(SEARCH("Blast",$L104)),(4+$G104+(2-$G104)*0.5)/6*2,(4+$G104)/6)) *
_xlfn.IFS(AM$24-$I104 &lt;=1, 5/6, AM$24-$I104 &lt;=5, (7-(AM$24-$I104))/6, AND(AM$24-$I104 =6,NOT(_xlfn.IFNA(ISNUMBER(SEARCH("Rending",$L104)),FALSE))), (7-(AM$24-$I104))/6, AND(AM$24-$I104 &gt;=7,NOT(_xlfn.IFNA(ISNUMBER(SEARCH("Rending",$L104)),FALSE))), 0, AM$24-$I104 =7, (7-(AM$24-1-$I104))/6, AM$24-$I104 =8, (7-(AM$24-2-$I104))/6*2/3, AM$24-$I104 =9, (7-(AM$24-3-$I104))/6*1/3, TRUE, 0) *
IF(ISNUMBER(SEARCH("Ordinance",$L104)),7/6,1) *
IF(OR(ISNUMBER(SEARCH("Melee",$L104)),ISNUMBER(SEARCH("Bypass",$L104))),1.5,1)</f>
        <v>1</v>
      </c>
      <c r="AN104" s="17" cm="1">
        <f t="array" ref="AN104">$H104 *
IF(ISNUMBER(SEARCH("Rapid",$L104)),7/6,1) *
IF(OR(ISNUMBER(SEARCH("Beam",$L104)),ISNUMBER(SEARCH("Firestorm",$L104))),1, IF(ISNUMBER(SEARCH("Blast",$L104)),(4+$G104+(2-$G104)*0.5)/6*2,(4+$G104)/6)) *
_xlfn.IFS(AN$24-$I104 &lt;=1, 5/6, AN$24-$I104 &lt;=5, (7-(AN$24-$I104))/6, AND(AN$24-$I104 =6,NOT(_xlfn.IFNA(ISNUMBER(SEARCH("Rending",$L104)),FALSE))), (7-(AN$24-$I104))/6, AND(AN$24-$I104 &gt;=7,NOT(_xlfn.IFNA(ISNUMBER(SEARCH("Rending",$L104)),FALSE))), 0, AN$24-$I104 =7, (7-(AN$24-1-$I104))/6, AN$24-$I104 =8, (7-(AN$24-2-$I104))/6*2/3, AN$24-$I104 =9, (7-(AN$24-3-$I104))/6*1/3, TRUE, 0) *
IF(ISNUMBER(SEARCH("Ordinance",$L104)),7/6,1) *
IF(OR(ISNUMBER(SEARCH("Melee",$L104)),ISNUMBER(SEARCH("Bypass",$L104))),1.5,1)</f>
        <v>0.5</v>
      </c>
      <c r="AO104" s="17" cm="1">
        <f t="array" ref="AO104">$H104 *
IF(ISNUMBER(SEARCH("Rapid",$L104)),7/6,1) *
IF(OR(ISNUMBER(SEARCH("Beam",$L104)),ISNUMBER(SEARCH("Firestorm",$L104))),1, IF(ISNUMBER(SEARCH("Blast",$L104)),(4+$G104+(2-$G104)*0.5)/6*2,(4+$G104)/6)) *
_xlfn.IFS(AO$24-$I104 &lt;=1, 5/6, AO$24-$I104 &lt;=5, (7-(AO$24-$I104))/6, AND(AO$24-$I104 =6,NOT(_xlfn.IFNA(ISNUMBER(SEARCH("Rending",$L104)),FALSE))), (7-(AO$24-$I104))/6, AND(AO$24-$I104 &gt;=7,NOT(_xlfn.IFNA(ISNUMBER(SEARCH("Rending",$L104)),FALSE))), 0, AO$24-$I104 =7, (7-(AO$24-1-$I104))/6, AO$24-$I104 =8, (7-(AO$24-2-$I104))/6*2/3, AO$24-$I104 =9, (7-(AO$24-3-$I104))/6*1/3, TRUE, 0) *
IF(ISNUMBER(SEARCH("Ordinance",$L104)),7/6,1) *
IF(OR(ISNUMBER(SEARCH("Melee",$L104)),ISNUMBER(SEARCH("Bypass",$L104))),1.5,1)</f>
        <v>0</v>
      </c>
      <c r="AP104" s="17" cm="1">
        <f t="array" ref="AP104">$H104 *
IF(ISNUMBER(SEARCH("Rapid",$L104)),7/6,1) *
IF(OR(ISNUMBER(SEARCH("Beam",$L104)),ISNUMBER(SEARCH("Firestorm",$L104))),1, IF(ISNUMBER(SEARCH("Blast",$L104)),(4+$G104+(2-$G104)*0.5)/6*2,(4+$G104)/6)) *
_xlfn.IFS(AP$24-$I104 &lt;=1, 5/6, AP$24-$I104 &lt;=5, (7-(AP$24-$I104))/6, AND(AP$24-$I104 =6,NOT(_xlfn.IFNA(ISNUMBER(SEARCH("Rending",$L104)),FALSE))), (7-(AP$24-$I104))/6, AND(AP$24-$I104 &gt;=7,NOT(_xlfn.IFNA(ISNUMBER(SEARCH("Rending",$L104)),FALSE))), 0, AP$24-$I104 =7, (7-(AP$24-1-$I104))/6, AP$24-$I104 =8, (7-(AP$24-2-$I104))/6*2/3, AP$24-$I104 =9, (7-(AP$24-3-$I104))/6*1/3, TRUE, 0) *
IF(ISNUMBER(SEARCH("Ordinance",$L104)),7/6,1) *
IF(OR(ISNUMBER(SEARCH("Melee",$L104)),ISNUMBER(SEARCH("Bypass",$L104))),1.5,1)</f>
        <v>0</v>
      </c>
      <c r="AQ104" s="17" cm="1">
        <f t="array" ref="AQ104">$H104 *
IF(ISNUMBER(SEARCH("Rapid",$L104)),7/6,1) *
IF(OR(ISNUMBER(SEARCH("Beam",$L104)),ISNUMBER(SEARCH("Firestorm",$L104))),1, IF(ISNUMBER(SEARCH("Blast",$L104)),(4+$G104+(2-$G104)*0.5)/6*2,(4+$G104)/6)) *
_xlfn.IFS(AQ$24-$I104 &lt;=1, 5/6, AQ$24-$I104 &lt;=5, (7-(AQ$24-$I104))/6, AND(AQ$24-$I104 =6,NOT(_xlfn.IFNA(ISNUMBER(SEARCH("Rending",$L104)),FALSE))), (7-(AQ$24-$I104))/6, AND(AQ$24-$I104 &gt;=7,NOT(_xlfn.IFNA(ISNUMBER(SEARCH("Rending",$L104)),FALSE))), 0, AQ$24-$I104 =7, (7-(AQ$24-1-$I104))/6, AQ$24-$I104 =8, (7-(AQ$24-2-$I104))/6*2/3, AQ$24-$I104 =9, (7-(AQ$24-3-$I104))/6*1/3, TRUE, 0) *
IF(ISNUMBER(SEARCH("Ordinance",$L104)),7/6,1) *
IF(OR(ISNUMBER(SEARCH("Melee",$L104)),ISNUMBER(SEARCH("Bypass",$L104))),1.5,1)</f>
        <v>0</v>
      </c>
      <c r="AS104" s="16">
        <f t="shared" si="26"/>
        <v>1</v>
      </c>
      <c r="AT104" s="16">
        <f t="shared" si="27"/>
        <v>1.3333333333333333</v>
      </c>
      <c r="AU104" s="16">
        <f t="shared" si="28"/>
        <v>2.2777777777777781</v>
      </c>
      <c r="AV104" s="2">
        <v>10</v>
      </c>
    </row>
    <row r="105" spans="1:48" x14ac:dyDescent="0.3">
      <c r="A105" t="s">
        <v>243</v>
      </c>
      <c r="B105" s="3">
        <v>10</v>
      </c>
      <c r="C105" s="3">
        <v>20</v>
      </c>
      <c r="D105" s="3">
        <v>1</v>
      </c>
      <c r="E105" s="3">
        <v>1</v>
      </c>
      <c r="F105" s="10">
        <v>1</v>
      </c>
      <c r="G105" s="10">
        <v>0</v>
      </c>
      <c r="H105" s="3">
        <v>12</v>
      </c>
      <c r="I105" s="3">
        <v>4</v>
      </c>
      <c r="J105" s="3" t="s">
        <v>254</v>
      </c>
      <c r="K105" s="3">
        <v>20</v>
      </c>
      <c r="L105" s="3" t="s">
        <v>257</v>
      </c>
      <c r="M105" s="3" t="s">
        <v>236</v>
      </c>
      <c r="N105" s="3">
        <v>11</v>
      </c>
      <c r="O105" s="3">
        <v>11</v>
      </c>
      <c r="P105" s="3">
        <v>15</v>
      </c>
      <c r="Q105" s="3" t="s">
        <v>200</v>
      </c>
      <c r="R105" s="3">
        <v>7</v>
      </c>
      <c r="S105" s="3">
        <v>9</v>
      </c>
      <c r="T105" s="3">
        <v>3</v>
      </c>
      <c r="V105" s="16">
        <f t="shared" si="20"/>
        <v>3.8888888888888893</v>
      </c>
      <c r="W105" s="16">
        <f t="shared" si="21"/>
        <v>5.8333333333333339</v>
      </c>
      <c r="X105" s="17" cm="1">
        <f t="array" ref="X105">$H105 *
IF(ISNUMBER(SEARCH("Rapid",$L105)),7/6,1) *
IF(OR(ISNUMBER(SEARCH("Beam",$L105)),ISNUMBER(SEARCH("Firestorm",$L105))),1, IF(ISNUMBER(SEARCH("Blast",$L105)),(4+$F105+(2-$F105)*0.5)/6*2,(4+$F105)/6)) *
IF(ISNUMBER(SEARCH("Fusion",$L105)), _xlfn.IFS(X$24-$I105 &lt;=1, 9/10, X$24-$I105 &lt;=10,(11-(X$24-$I105))/10, X$24-$I105 &gt;=11, 0),
_xlfn.IFS(X$24-$I105 &lt;=1, 5/6, X$24-$I105 &lt;=5, (7-(X$24-$I105))/6, AND(X$24-$I105 =6,NOT(_xlfn.IFNA(ISNUMBER(SEARCH("Rending",$L105)),FALSE))), (7-(X$24-$I105))/6, AND(X$24-$I105 &gt;=7,NOT(_xlfn.IFNA(ISNUMBER(SEARCH("Rending",$L105)),FALSE))), 0, X$24-$I105 =7, (7-(X$24-1-$I105))/6, X$24-$I105 =8, (7-(X$24-2-$I105))/6*2/3, X$24-$I105 =9, (7-(X$24-3-$I105))/6*1/3, TRUE, 0)) *
IF(ISNUMBER(SEARCH("Ordinance",$L105)),7/6,1) *
IF(OR(ISNUMBER(SEARCH("Melee",$L105)),ISNUMBER(SEARCH("Bypass",$L105))),1.5,1)</f>
        <v>3.8888888888888893</v>
      </c>
      <c r="Y105" s="17" cm="1">
        <f t="array" ref="Y105">$H105 *
IF(ISNUMBER(SEARCH("Rapid",$L105)),7/6,1) *
IF(OR(ISNUMBER(SEARCH("Beam",$L105)),ISNUMBER(SEARCH("Firestorm",$L105))),1, IF(ISNUMBER(SEARCH("Blast",$L105)),(4+$F105+(2-$F105)*0.5)/6*2,(4+$F105)/6)) *
IF(ISNUMBER(SEARCH("Fusion",$L105)), _xlfn.IFS(Y$24-$I105 &lt;=1, 9/10, Y$24-$I105 &lt;=10,(11-(Y$24-$I105))/10, Y$24-$I105 &gt;=11, 0),
_xlfn.IFS(Y$24-$I105 &lt;=1, 5/6, Y$24-$I105 &lt;=5, (7-(Y$24-$I105))/6, AND(Y$24-$I105 =6,NOT(_xlfn.IFNA(ISNUMBER(SEARCH("Rending",$L105)),FALSE))), (7-(Y$24-$I105))/6, AND(Y$24-$I105 &gt;=7,NOT(_xlfn.IFNA(ISNUMBER(SEARCH("Rending",$L105)),FALSE))), 0, Y$24-$I105 =7, (7-(Y$24-1-$I105))/6, Y$24-$I105 =8, (7-(Y$24-2-$I105))/6*2/3, Y$24-$I105 =9, (7-(Y$24-3-$I105))/6*1/3, TRUE, 0)) *
IF(ISNUMBER(SEARCH("Ordinance",$L105)),7/6,1) *
IF(OR(ISNUMBER(SEARCH("Melee",$L105)),ISNUMBER(SEARCH("Bypass",$L105))),1.5,1)</f>
        <v>1.9444444444444446</v>
      </c>
      <c r="Z105" s="17" cm="1">
        <f t="array" ref="Z105">$H105 *
IF(ISNUMBER(SEARCH("Rapid",$L105)),7/6,1) *
IF(OR(ISNUMBER(SEARCH("Beam",$L105)),ISNUMBER(SEARCH("Firestorm",$L105))),1, IF(ISNUMBER(SEARCH("Blast",$L105)),(4+$F105+(2-$F105)*0.5)/6*2,(4+$F105)/6)) *
IF(ISNUMBER(SEARCH("Fusion",$L105)), _xlfn.IFS(Z$24-$I105 &lt;=1, 9/10, Z$24-$I105 &lt;=10,(11-(Z$24-$I105))/10, Z$24-$I105 &gt;=11, 0),
_xlfn.IFS(Z$24-$I105 &lt;=1, 5/6, Z$24-$I105 &lt;=5, (7-(Z$24-$I105))/6, AND(Z$24-$I105 =6,NOT(_xlfn.IFNA(ISNUMBER(SEARCH("Rending",$L105)),FALSE))), (7-(Z$24-$I105))/6, AND(Z$24-$I105 &gt;=7,NOT(_xlfn.IFNA(ISNUMBER(SEARCH("Rending",$L105)),FALSE))), 0, Z$24-$I105 =7, (7-(Z$24-1-$I105))/6, Z$24-$I105 =8, (7-(Z$24-2-$I105))/6*2/3, Z$24-$I105 =9, (7-(Z$24-3-$I105))/6*1/3, TRUE, 0)) *
IF(ISNUMBER(SEARCH("Ordinance",$L105)),7/6,1) *
IF(OR(ISNUMBER(SEARCH("Melee",$L105)),ISNUMBER(SEARCH("Bypass",$L105))),1.5,1)</f>
        <v>0</v>
      </c>
      <c r="AA105" s="17" cm="1">
        <f t="array" ref="AA105">$H105 *
IF(ISNUMBER(SEARCH("Rapid",$L105)),7/6,1) *
IF(OR(ISNUMBER(SEARCH("Beam",$L105)),ISNUMBER(SEARCH("Firestorm",$L105))),1, IF(ISNUMBER(SEARCH("Blast",$L105)),(4+$F105+(2-$F105)*0.5)/6*2,(4+$F105)/6)) *
IF(ISNUMBER(SEARCH("Fusion",$L105)), _xlfn.IFS(AA$24-$I105 &lt;=1, 9/10, AA$24-$I105 &lt;=10,(11-(AA$24-$I105))/10, AA$24-$I105 &gt;=11, 0),
_xlfn.IFS(AA$24-$I105 &lt;=1, 5/6, AA$24-$I105 &lt;=5, (7-(AA$24-$I105))/6, AND(AA$24-$I105 =6,NOT(_xlfn.IFNA(ISNUMBER(SEARCH("Rending",$L105)),FALSE))), (7-(AA$24-$I105))/6, AND(AA$24-$I105 &gt;=7,NOT(_xlfn.IFNA(ISNUMBER(SEARCH("Rending",$L105)),FALSE))), 0, AA$24-$I105 =7, (7-(AA$24-1-$I105))/6, AA$24-$I105 =8, (7-(AA$24-2-$I105))/6*2/3, AA$24-$I105 =9, (7-(AA$24-3-$I105))/6*1/3, TRUE, 0)) *
IF(ISNUMBER(SEARCH("Ordinance",$L105)),7/6,1) *
IF(OR(ISNUMBER(SEARCH("Melee",$L105)),ISNUMBER(SEARCH("Bypass",$L105))),1.5,1)</f>
        <v>0</v>
      </c>
      <c r="AB105" s="17" cm="1">
        <f t="array" ref="AB105">$H105 *
IF(ISNUMBER(SEARCH("Rapid",$L105)),7/6,1) *
IF(OR(ISNUMBER(SEARCH("Beam",$L105)),ISNUMBER(SEARCH("Firestorm",$L105))),1, IF(ISNUMBER(SEARCH("Blast",$L105)),(4+$F105+(2-$F105)*0.5)/6*2,(4+$F105)/6)) *
IF(ISNUMBER(SEARCH("Fusion",$L105)), _xlfn.IFS(AB$24-$I105 &lt;=1, 9/10, AB$24-$I105 &lt;=10,(11-(AB$24-$I105))/10, AB$24-$I105 &gt;=11, 0),
_xlfn.IFS(AB$24-$I105 &lt;=1, 5/6, AB$24-$I105 &lt;=5, (7-(AB$24-$I105))/6, AND(AB$24-$I105 =6,NOT(_xlfn.IFNA(ISNUMBER(SEARCH("Rending",$L105)),FALSE))), (7-(AB$24-$I105))/6, AND(AB$24-$I105 &gt;=7,NOT(_xlfn.IFNA(ISNUMBER(SEARCH("Rending",$L105)),FALSE))), 0, AB$24-$I105 =7, (7-(AB$24-1-$I105))/6, AB$24-$I105 =8, (7-(AB$24-2-$I105))/6*2/3, AB$24-$I105 =9, (7-(AB$24-3-$I105))/6*1/3, TRUE, 0)) *
IF(ISNUMBER(SEARCH("Ordinance",$L105)),7/6,1) *
IF(OR(ISNUMBER(SEARCH("Melee",$L105)),ISNUMBER(SEARCH("Bypass",$L105))),1.5,1)</f>
        <v>0</v>
      </c>
      <c r="AC105" s="17" cm="1">
        <f t="array" ref="AC105">$H105 *
IF(ISNUMBER(SEARCH("Rapid",$L105)),7/6,1) *
IF(OR(ISNUMBER(SEARCH("Beam",$L105)),ISNUMBER(SEARCH("Firestorm",$L105))),1, IF(ISNUMBER(SEARCH("Blast",$L105)),(4+$F105+(2-$F105)*0.5)/6*2,(4+$F105)/6)) *
IF(ISNUMBER(SEARCH("Fusion",$L105)), _xlfn.IFS(AC$24-$I105 &lt;=1, 9/10, AC$24-$I105 &lt;=10,(11-(AC$24-$I105))/10, AC$24-$I105 &gt;=11, 0),
_xlfn.IFS(AC$24-$I105 &lt;=1, 5/6, AC$24-$I105 &lt;=5, (7-(AC$24-$I105))/6, AND(AC$24-$I105 =6,NOT(_xlfn.IFNA(ISNUMBER(SEARCH("Rending",$L105)),FALSE))), (7-(AC$24-$I105))/6, AND(AC$24-$I105 &gt;=7,NOT(_xlfn.IFNA(ISNUMBER(SEARCH("Rending",$L105)),FALSE))), 0, AC$24-$I105 =7, (7-(AC$24-1-$I105))/6, AC$24-$I105 =8, (7-(AC$24-2-$I105))/6*2/3, AC$24-$I105 =9, (7-(AC$24-3-$I105))/6*1/3, TRUE, 0)) *
IF(ISNUMBER(SEARCH("Ordinance",$L105)),7/6,1) *
IF(OR(ISNUMBER(SEARCH("Melee",$L105)),ISNUMBER(SEARCH("Bypass",$L105))),1.5,1)</f>
        <v>0</v>
      </c>
      <c r="AD105" s="17" cm="1">
        <f t="array" ref="AD105">$H105 *
IF(ISNUMBER(SEARCH("Rapid",$L105)),7/6,1) *
IF(OR(ISNUMBER(SEARCH("Beam",$L105)),ISNUMBER(SEARCH("Firestorm",$L105))),1, IF(ISNUMBER(SEARCH("Blast",$L105)),(4+$F105+(2-$F105)*0.5)/6*2,(4+$F105)/6)) *
IF(ISNUMBER(SEARCH("Fusion",$L105)), _xlfn.IFS(AD$24-$I105 &lt;=1, 9/10, AD$24-$I105 &lt;=10,(11-(AD$24-$I105))/10, AD$24-$I105 &gt;=11, 0),
_xlfn.IFS(AD$24-$I105 &lt;=1, 5/6, AD$24-$I105 &lt;=5, (7-(AD$24-$I105))/6, AND(AD$24-$I105 =6,NOT(_xlfn.IFNA(ISNUMBER(SEARCH("Rending",$L105)),FALSE))), (7-(AD$24-$I105))/6, AND(AD$24-$I105 &gt;=7,NOT(_xlfn.IFNA(ISNUMBER(SEARCH("Rending",$L105)),FALSE))), 0, AD$24-$I105 =7, (7-(AD$24-1-$I105))/6, AD$24-$I105 =8, (7-(AD$24-2-$I105))/6*2/3, AD$24-$I105 =9, (7-(AD$24-3-$I105))/6*1/3, TRUE, 0)) *
IF(ISNUMBER(SEARCH("Ordinance",$L105)),7/6,1) *
IF(OR(ISNUMBER(SEARCH("Melee",$L105)),ISNUMBER(SEARCH("Bypass",$L105))),1.5,1)</f>
        <v>0</v>
      </c>
      <c r="AE105" s="17" cm="1">
        <f t="array" ref="AE105">$H105 *
IF(ISNUMBER(SEARCH("Rapid",$L105)),7/6,1) *
IF(OR(ISNUMBER(SEARCH("Beam",$L105)),ISNUMBER(SEARCH("Firestorm",$L105))),1, IF(ISNUMBER(SEARCH("Blast",$L105)),(4+$F105+(2-$F105)*0.5)/6*2,(4+$F105)/6)) *
IF(ISNUMBER(SEARCH("Fusion",$L105)), _xlfn.IFS(AE$24-$I105 &lt;=1, 9/10, AE$24-$I105 &lt;=10,(11-(AE$24-$I105))/10, AE$24-$I105 &gt;=11, 0),
_xlfn.IFS(AE$24-$I105 &lt;=1, 5/6, AE$24-$I105 &lt;=5, (7-(AE$24-$I105))/6, AND(AE$24-$I105 =6,NOT(_xlfn.IFNA(ISNUMBER(SEARCH("Rending",$L105)),FALSE))), (7-(AE$24-$I105))/6, AND(AE$24-$I105 &gt;=7,NOT(_xlfn.IFNA(ISNUMBER(SEARCH("Rending",$L105)),FALSE))), 0, AE$24-$I105 =7, (7-(AE$24-1-$I105))/6, AE$24-$I105 =8, (7-(AE$24-2-$I105))/6*2/3, AE$24-$I105 =9, (7-(AE$24-3-$I105))/6*1/3, TRUE, 0)) *
IF(ISNUMBER(SEARCH("Ordinance",$L105)),7/6,1) *
IF(OR(ISNUMBER(SEARCH("Melee",$L105)),ISNUMBER(SEARCH("Bypass",$L105))),1.5,1)</f>
        <v>0</v>
      </c>
      <c r="AF105" s="17" cm="1">
        <f t="array" ref="AF105">$H105 *
IF(ISNUMBER(SEARCH("Rapid",$L105)),7/6,1) *
IF(OR(ISNUMBER(SEARCH("Beam",$L105)),ISNUMBER(SEARCH("Firestorm",$L105))),1, IF(ISNUMBER(SEARCH("Blast",$L105)),(4+$F105+(2-$F105)*0.5)/6*2,(4+$F105)/6)) *
IF(ISNUMBER(SEARCH("Fusion",$L105)), _xlfn.IFS(AF$24-$I105 &lt;=1, 9/10, AF$24-$I105 &lt;=10,(11-(AF$24-$I105))/10, AF$24-$I105 &gt;=11, 0),
_xlfn.IFS(AF$24-$I105 &lt;=1, 5/6, AF$24-$I105 &lt;=5, (7-(AF$24-$I105))/6, AND(AF$24-$I105 =6,NOT(_xlfn.IFNA(ISNUMBER(SEARCH("Rending",$L105)),FALSE))), (7-(AF$24-$I105))/6, AND(AF$24-$I105 &gt;=7,NOT(_xlfn.IFNA(ISNUMBER(SEARCH("Rending",$L105)),FALSE))), 0, AF$24-$I105 =7, (7-(AF$24-1-$I105))/6, AF$24-$I105 =8, (7-(AF$24-2-$I105))/6*2/3, AF$24-$I105 =9, (7-(AF$24-3-$I105))/6*1/3, TRUE, 0)) *
IF(ISNUMBER(SEARCH("Ordinance",$L105)),7/6,1) *
IF(OR(ISNUMBER(SEARCH("Melee",$L105)),ISNUMBER(SEARCH("Bypass",$L105))),1.5,1)</f>
        <v>0</v>
      </c>
      <c r="AG105" s="16">
        <f t="shared" si="22"/>
        <v>3.1111111111111107</v>
      </c>
      <c r="AH105" s="16">
        <f t="shared" si="23"/>
        <v>4.6666666666666661</v>
      </c>
      <c r="AI105" s="17" cm="1">
        <f t="array" ref="AI105">$H105 *
IF(ISNUMBER(SEARCH("Rapid",$L105)),7/6,1) *
IF(OR(ISNUMBER(SEARCH("Beam",$L105)),ISNUMBER(SEARCH("Firestorm",$L105))),1, IF(ISNUMBER(SEARCH("Blast",$L105)),(4+$G105+(2-$G105)*0.5)/6*2,(4+$G105)/6)) *
_xlfn.IFS(AI$24-$I105 &lt;=1, 5/6, AI$24-$I105 &lt;=5, (7-(AI$24-$I105))/6, AND(AI$24-$I105 =6,NOT(_xlfn.IFNA(ISNUMBER(SEARCH("Rending",$L105)),FALSE))), (7-(AI$24-$I105))/6, AND(AI$24-$I105 &gt;=7,NOT(_xlfn.IFNA(ISNUMBER(SEARCH("Rending",$L105)),FALSE))), 0, AI$24-$I105 =7, (7-(AI$24-1-$I105))/6, AI$24-$I105 =8, (7-(AI$24-2-$I105))/6*2/3, AI$24-$I105 =9, (7-(AI$24-3-$I105))/6*1/3, TRUE, 0) *
IF(ISNUMBER(SEARCH("Ordinance",$L105)),7/6,1) *
IF(OR(ISNUMBER(SEARCH("Melee",$L105)),ISNUMBER(SEARCH("Bypass",$L105))),1.5,1)</f>
        <v>3.1111111111111107</v>
      </c>
      <c r="AJ105" s="17" cm="1">
        <f t="array" ref="AJ105">$H105 *
IF(ISNUMBER(SEARCH("Rapid",$L105)),7/6,1) *
IF(OR(ISNUMBER(SEARCH("Beam",$L105)),ISNUMBER(SEARCH("Firestorm",$L105))),1, IF(ISNUMBER(SEARCH("Blast",$L105)),(4+$G105+(2-$G105)*0.5)/6*2,(4+$G105)/6)) *
_xlfn.IFS(AJ$24-$I105 &lt;=1, 5/6, AJ$24-$I105 &lt;=5, (7-(AJ$24-$I105))/6, AND(AJ$24-$I105 =6,NOT(_xlfn.IFNA(ISNUMBER(SEARCH("Rending",$L105)),FALSE))), (7-(AJ$24-$I105))/6, AND(AJ$24-$I105 &gt;=7,NOT(_xlfn.IFNA(ISNUMBER(SEARCH("Rending",$L105)),FALSE))), 0, AJ$24-$I105 =7, (7-(AJ$24-1-$I105))/6, AJ$24-$I105 =8, (7-(AJ$24-2-$I105))/6*2/3, AJ$24-$I105 =9, (7-(AJ$24-3-$I105))/6*1/3, TRUE, 0) *
IF(ISNUMBER(SEARCH("Ordinance",$L105)),7/6,1) *
IF(OR(ISNUMBER(SEARCH("Melee",$L105)),ISNUMBER(SEARCH("Bypass",$L105))),1.5,1)</f>
        <v>1.5555555555555554</v>
      </c>
      <c r="AK105" s="17" cm="1">
        <f t="array" ref="AK105">$H105 *
IF(ISNUMBER(SEARCH("Rapid",$L105)),7/6,1) *
IF(OR(ISNUMBER(SEARCH("Beam",$L105)),ISNUMBER(SEARCH("Firestorm",$L105))),1, IF(ISNUMBER(SEARCH("Blast",$L105)),(4+$G105+(2-$G105)*0.5)/6*2,(4+$G105)/6)) *
_xlfn.IFS(AK$24-$I105 &lt;=1, 5/6, AK$24-$I105 &lt;=5, (7-(AK$24-$I105))/6, AND(AK$24-$I105 =6,NOT(_xlfn.IFNA(ISNUMBER(SEARCH("Rending",$L105)),FALSE))), (7-(AK$24-$I105))/6, AND(AK$24-$I105 &gt;=7,NOT(_xlfn.IFNA(ISNUMBER(SEARCH("Rending",$L105)),FALSE))), 0, AK$24-$I105 =7, (7-(AK$24-1-$I105))/6, AK$24-$I105 =8, (7-(AK$24-2-$I105))/6*2/3, AK$24-$I105 =9, (7-(AK$24-3-$I105))/6*1/3, TRUE, 0) *
IF(ISNUMBER(SEARCH("Ordinance",$L105)),7/6,1) *
IF(OR(ISNUMBER(SEARCH("Melee",$L105)),ISNUMBER(SEARCH("Bypass",$L105))),1.5,1)</f>
        <v>0</v>
      </c>
      <c r="AL105" s="17" cm="1">
        <f t="array" ref="AL105">$H105 *
IF(ISNUMBER(SEARCH("Rapid",$L105)),7/6,1) *
IF(OR(ISNUMBER(SEARCH("Beam",$L105)),ISNUMBER(SEARCH("Firestorm",$L105))),1, IF(ISNUMBER(SEARCH("Blast",$L105)),(4+$G105+(2-$G105)*0.5)/6*2,(4+$G105)/6)) *
_xlfn.IFS(AL$24-$I105 &lt;=1, 5/6, AL$24-$I105 &lt;=5, (7-(AL$24-$I105))/6, AND(AL$24-$I105 =6,NOT(_xlfn.IFNA(ISNUMBER(SEARCH("Rending",$L105)),FALSE))), (7-(AL$24-$I105))/6, AND(AL$24-$I105 &gt;=7,NOT(_xlfn.IFNA(ISNUMBER(SEARCH("Rending",$L105)),FALSE))), 0, AL$24-$I105 =7, (7-(AL$24-1-$I105))/6, AL$24-$I105 =8, (7-(AL$24-2-$I105))/6*2/3, AL$24-$I105 =9, (7-(AL$24-3-$I105))/6*1/3, TRUE, 0) *
IF(ISNUMBER(SEARCH("Ordinance",$L105)),7/6,1) *
IF(OR(ISNUMBER(SEARCH("Melee",$L105)),ISNUMBER(SEARCH("Bypass",$L105))),1.5,1)</f>
        <v>0</v>
      </c>
      <c r="AM105" s="17" cm="1">
        <f t="array" ref="AM105">$H105 *
IF(ISNUMBER(SEARCH("Rapid",$L105)),7/6,1) *
IF(OR(ISNUMBER(SEARCH("Beam",$L105)),ISNUMBER(SEARCH("Firestorm",$L105))),1, IF(ISNUMBER(SEARCH("Blast",$L105)),(4+$G105+(2-$G105)*0.5)/6*2,(4+$G105)/6)) *
_xlfn.IFS(AM$24-$I105 &lt;=1, 5/6, AM$24-$I105 &lt;=5, (7-(AM$24-$I105))/6, AND(AM$24-$I105 =6,NOT(_xlfn.IFNA(ISNUMBER(SEARCH("Rending",$L105)),FALSE))), (7-(AM$24-$I105))/6, AND(AM$24-$I105 &gt;=7,NOT(_xlfn.IFNA(ISNUMBER(SEARCH("Rending",$L105)),FALSE))), 0, AM$24-$I105 =7, (7-(AM$24-1-$I105))/6, AM$24-$I105 =8, (7-(AM$24-2-$I105))/6*2/3, AM$24-$I105 =9, (7-(AM$24-3-$I105))/6*1/3, TRUE, 0) *
IF(ISNUMBER(SEARCH("Ordinance",$L105)),7/6,1) *
IF(OR(ISNUMBER(SEARCH("Melee",$L105)),ISNUMBER(SEARCH("Bypass",$L105))),1.5,1)</f>
        <v>0</v>
      </c>
      <c r="AN105" s="17" cm="1">
        <f t="array" ref="AN105">$H105 *
IF(ISNUMBER(SEARCH("Rapid",$L105)),7/6,1) *
IF(OR(ISNUMBER(SEARCH("Beam",$L105)),ISNUMBER(SEARCH("Firestorm",$L105))),1, IF(ISNUMBER(SEARCH("Blast",$L105)),(4+$G105+(2-$G105)*0.5)/6*2,(4+$G105)/6)) *
_xlfn.IFS(AN$24-$I105 &lt;=1, 5/6, AN$24-$I105 &lt;=5, (7-(AN$24-$I105))/6, AND(AN$24-$I105 =6,NOT(_xlfn.IFNA(ISNUMBER(SEARCH("Rending",$L105)),FALSE))), (7-(AN$24-$I105))/6, AND(AN$24-$I105 &gt;=7,NOT(_xlfn.IFNA(ISNUMBER(SEARCH("Rending",$L105)),FALSE))), 0, AN$24-$I105 =7, (7-(AN$24-1-$I105))/6, AN$24-$I105 =8, (7-(AN$24-2-$I105))/6*2/3, AN$24-$I105 =9, (7-(AN$24-3-$I105))/6*1/3, TRUE, 0) *
IF(ISNUMBER(SEARCH("Ordinance",$L105)),7/6,1) *
IF(OR(ISNUMBER(SEARCH("Melee",$L105)),ISNUMBER(SEARCH("Bypass",$L105))),1.5,1)</f>
        <v>0</v>
      </c>
      <c r="AO105" s="17" cm="1">
        <f t="array" ref="AO105">$H105 *
IF(ISNUMBER(SEARCH("Rapid",$L105)),7/6,1) *
IF(OR(ISNUMBER(SEARCH("Beam",$L105)),ISNUMBER(SEARCH("Firestorm",$L105))),1, IF(ISNUMBER(SEARCH("Blast",$L105)),(4+$G105+(2-$G105)*0.5)/6*2,(4+$G105)/6)) *
_xlfn.IFS(AO$24-$I105 &lt;=1, 5/6, AO$24-$I105 &lt;=5, (7-(AO$24-$I105))/6, AND(AO$24-$I105 =6,NOT(_xlfn.IFNA(ISNUMBER(SEARCH("Rending",$L105)),FALSE))), (7-(AO$24-$I105))/6, AND(AO$24-$I105 &gt;=7,NOT(_xlfn.IFNA(ISNUMBER(SEARCH("Rending",$L105)),FALSE))), 0, AO$24-$I105 =7, (7-(AO$24-1-$I105))/6, AO$24-$I105 =8, (7-(AO$24-2-$I105))/6*2/3, AO$24-$I105 =9, (7-(AO$24-3-$I105))/6*1/3, TRUE, 0) *
IF(ISNUMBER(SEARCH("Ordinance",$L105)),7/6,1) *
IF(OR(ISNUMBER(SEARCH("Melee",$L105)),ISNUMBER(SEARCH("Bypass",$L105))),1.5,1)</f>
        <v>0</v>
      </c>
      <c r="AP105" s="17" cm="1">
        <f t="array" ref="AP105">$H105 *
IF(ISNUMBER(SEARCH("Rapid",$L105)),7/6,1) *
IF(OR(ISNUMBER(SEARCH("Beam",$L105)),ISNUMBER(SEARCH("Firestorm",$L105))),1, IF(ISNUMBER(SEARCH("Blast",$L105)),(4+$G105+(2-$G105)*0.5)/6*2,(4+$G105)/6)) *
_xlfn.IFS(AP$24-$I105 &lt;=1, 5/6, AP$24-$I105 &lt;=5, (7-(AP$24-$I105))/6, AND(AP$24-$I105 =6,NOT(_xlfn.IFNA(ISNUMBER(SEARCH("Rending",$L105)),FALSE))), (7-(AP$24-$I105))/6, AND(AP$24-$I105 &gt;=7,NOT(_xlfn.IFNA(ISNUMBER(SEARCH("Rending",$L105)),FALSE))), 0, AP$24-$I105 =7, (7-(AP$24-1-$I105))/6, AP$24-$I105 =8, (7-(AP$24-2-$I105))/6*2/3, AP$24-$I105 =9, (7-(AP$24-3-$I105))/6*1/3, TRUE, 0) *
IF(ISNUMBER(SEARCH("Ordinance",$L105)),7/6,1) *
IF(OR(ISNUMBER(SEARCH("Melee",$L105)),ISNUMBER(SEARCH("Bypass",$L105))),1.5,1)</f>
        <v>0</v>
      </c>
      <c r="AQ105" s="17" cm="1">
        <f t="array" ref="AQ105">$H105 *
IF(ISNUMBER(SEARCH("Rapid",$L105)),7/6,1) *
IF(OR(ISNUMBER(SEARCH("Beam",$L105)),ISNUMBER(SEARCH("Firestorm",$L105))),1, IF(ISNUMBER(SEARCH("Blast",$L105)),(4+$G105+(2-$G105)*0.5)/6*2,(4+$G105)/6)) *
_xlfn.IFS(AQ$24-$I105 &lt;=1, 5/6, AQ$24-$I105 &lt;=5, (7-(AQ$24-$I105))/6, AND(AQ$24-$I105 =6,NOT(_xlfn.IFNA(ISNUMBER(SEARCH("Rending",$L105)),FALSE))), (7-(AQ$24-$I105))/6, AND(AQ$24-$I105 &gt;=7,NOT(_xlfn.IFNA(ISNUMBER(SEARCH("Rending",$L105)),FALSE))), 0, AQ$24-$I105 =7, (7-(AQ$24-1-$I105))/6, AQ$24-$I105 =8, (7-(AQ$24-2-$I105))/6*2/3, AQ$24-$I105 =9, (7-(AQ$24-3-$I105))/6*1/3, TRUE, 0) *
IF(ISNUMBER(SEARCH("Ordinance",$L105)),7/6,1) *
IF(OR(ISNUMBER(SEARCH("Melee",$L105)),ISNUMBER(SEARCH("Bypass",$L105))),1.5,1)</f>
        <v>0</v>
      </c>
      <c r="AS105" s="16">
        <f t="shared" si="26"/>
        <v>3.1111111111111107</v>
      </c>
      <c r="AT105" s="16">
        <f t="shared" si="27"/>
        <v>4.6666666666666661</v>
      </c>
      <c r="AU105" s="16">
        <f t="shared" si="28"/>
        <v>1.7888888888888888</v>
      </c>
      <c r="AV105" s="2">
        <v>9</v>
      </c>
    </row>
    <row r="106" spans="1:48" x14ac:dyDescent="0.3">
      <c r="A106" t="s">
        <v>304</v>
      </c>
      <c r="B106" s="3">
        <v>10</v>
      </c>
      <c r="C106" s="3">
        <v>20</v>
      </c>
      <c r="D106" s="3">
        <v>1</v>
      </c>
      <c r="E106" s="3">
        <v>1</v>
      </c>
      <c r="F106" s="10">
        <v>1</v>
      </c>
      <c r="G106" s="10">
        <v>-1</v>
      </c>
      <c r="H106" s="3">
        <v>12</v>
      </c>
      <c r="I106" s="3">
        <v>6</v>
      </c>
      <c r="J106" s="3" t="s">
        <v>254</v>
      </c>
      <c r="K106" s="3">
        <v>65</v>
      </c>
      <c r="L106" s="3" t="s">
        <v>305</v>
      </c>
      <c r="M106" s="3" t="s">
        <v>236</v>
      </c>
      <c r="N106" s="3">
        <v>11</v>
      </c>
      <c r="O106" s="3">
        <v>11</v>
      </c>
      <c r="P106" s="3">
        <v>15</v>
      </c>
      <c r="Q106" s="3" t="s">
        <v>200</v>
      </c>
      <c r="R106" s="3">
        <v>7</v>
      </c>
      <c r="S106" s="3">
        <v>9</v>
      </c>
      <c r="T106" s="3">
        <v>3</v>
      </c>
      <c r="V106" s="16">
        <f t="shared" si="20"/>
        <v>3.8888888888888893</v>
      </c>
      <c r="W106" s="16">
        <f t="shared" si="21"/>
        <v>5.8333333333333339</v>
      </c>
      <c r="X106" s="17" cm="1">
        <f t="array" ref="X106">$H106 *
IF(ISNUMBER(SEARCH("Rapid",$L106)),7/6,1) *
IF(OR(ISNUMBER(SEARCH("Beam",$L106)),ISNUMBER(SEARCH("Firestorm",$L106))),1, IF(ISNUMBER(SEARCH("Blast",$L106)),(4+$F106+(2-$F106)*0.5)/6*2,(4+$F106)/6)) *
IF(ISNUMBER(SEARCH("Fusion",$L106)), _xlfn.IFS(X$24-$I106 &lt;=1, 9/10, X$24-$I106 &lt;=10,(11-(X$24-$I106))/10, X$24-$I106 &gt;=11, 0),
_xlfn.IFS(X$24-$I106 &lt;=1, 5/6, X$24-$I106 &lt;=5, (7-(X$24-$I106))/6, AND(X$24-$I106 =6,NOT(_xlfn.IFNA(ISNUMBER(SEARCH("Rending",$L106)),FALSE))), (7-(X$24-$I106))/6, AND(X$24-$I106 &gt;=7,NOT(_xlfn.IFNA(ISNUMBER(SEARCH("Rending",$L106)),FALSE))), 0, X$24-$I106 =7, (7-(X$24-1-$I106))/6, X$24-$I106 =8, (7-(X$24-2-$I106))/6*2/3, X$24-$I106 =9, (7-(X$24-3-$I106))/6*1/3, TRUE, 0)) *
IF(ISNUMBER(SEARCH("Ordinance",$L106)),7/6,1) *
IF(OR(ISNUMBER(SEARCH("Melee",$L106)),ISNUMBER(SEARCH("Bypass",$L106))),1.5,1)</f>
        <v>7.7777777777777786</v>
      </c>
      <c r="Y106" s="17" cm="1">
        <f t="array" ref="Y106">$H106 *
IF(ISNUMBER(SEARCH("Rapid",$L106)),7/6,1) *
IF(OR(ISNUMBER(SEARCH("Beam",$L106)),ISNUMBER(SEARCH("Firestorm",$L106))),1, IF(ISNUMBER(SEARCH("Blast",$L106)),(4+$F106+(2-$F106)*0.5)/6*2,(4+$F106)/6)) *
IF(ISNUMBER(SEARCH("Fusion",$L106)), _xlfn.IFS(Y$24-$I106 &lt;=1, 9/10, Y$24-$I106 &lt;=10,(11-(Y$24-$I106))/10, Y$24-$I106 &gt;=11, 0),
_xlfn.IFS(Y$24-$I106 &lt;=1, 5/6, Y$24-$I106 &lt;=5, (7-(Y$24-$I106))/6, AND(Y$24-$I106 =6,NOT(_xlfn.IFNA(ISNUMBER(SEARCH("Rending",$L106)),FALSE))), (7-(Y$24-$I106))/6, AND(Y$24-$I106 &gt;=7,NOT(_xlfn.IFNA(ISNUMBER(SEARCH("Rending",$L106)),FALSE))), 0, Y$24-$I106 =7, (7-(Y$24-1-$I106))/6, Y$24-$I106 =8, (7-(Y$24-2-$I106))/6*2/3, Y$24-$I106 =9, (7-(Y$24-3-$I106))/6*1/3, TRUE, 0)) *
IF(ISNUMBER(SEARCH("Ordinance",$L106)),7/6,1) *
IF(OR(ISNUMBER(SEARCH("Melee",$L106)),ISNUMBER(SEARCH("Bypass",$L106))),1.5,1)</f>
        <v>5.8333333333333339</v>
      </c>
      <c r="Z106" s="17" cm="1">
        <f t="array" ref="Z106">$H106 *
IF(ISNUMBER(SEARCH("Rapid",$L106)),7/6,1) *
IF(OR(ISNUMBER(SEARCH("Beam",$L106)),ISNUMBER(SEARCH("Firestorm",$L106))),1, IF(ISNUMBER(SEARCH("Blast",$L106)),(4+$F106+(2-$F106)*0.5)/6*2,(4+$F106)/6)) *
IF(ISNUMBER(SEARCH("Fusion",$L106)), _xlfn.IFS(Z$24-$I106 &lt;=1, 9/10, Z$24-$I106 &lt;=10,(11-(Z$24-$I106))/10, Z$24-$I106 &gt;=11, 0),
_xlfn.IFS(Z$24-$I106 &lt;=1, 5/6, Z$24-$I106 &lt;=5, (7-(Z$24-$I106))/6, AND(Z$24-$I106 =6,NOT(_xlfn.IFNA(ISNUMBER(SEARCH("Rending",$L106)),FALSE))), (7-(Z$24-$I106))/6, AND(Z$24-$I106 &gt;=7,NOT(_xlfn.IFNA(ISNUMBER(SEARCH("Rending",$L106)),FALSE))), 0, Z$24-$I106 =7, (7-(Z$24-1-$I106))/6, Z$24-$I106 =8, (7-(Z$24-2-$I106))/6*2/3, Z$24-$I106 =9, (7-(Z$24-3-$I106))/6*1/3, TRUE, 0)) *
IF(ISNUMBER(SEARCH("Ordinance",$L106)),7/6,1) *
IF(OR(ISNUMBER(SEARCH("Melee",$L106)),ISNUMBER(SEARCH("Bypass",$L106))),1.5,1)</f>
        <v>3.8888888888888893</v>
      </c>
      <c r="AA106" s="17" cm="1">
        <f t="array" ref="AA106">$H106 *
IF(ISNUMBER(SEARCH("Rapid",$L106)),7/6,1) *
IF(OR(ISNUMBER(SEARCH("Beam",$L106)),ISNUMBER(SEARCH("Firestorm",$L106))),1, IF(ISNUMBER(SEARCH("Blast",$L106)),(4+$F106+(2-$F106)*0.5)/6*2,(4+$F106)/6)) *
IF(ISNUMBER(SEARCH("Fusion",$L106)), _xlfn.IFS(AA$24-$I106 &lt;=1, 9/10, AA$24-$I106 &lt;=10,(11-(AA$24-$I106))/10, AA$24-$I106 &gt;=11, 0),
_xlfn.IFS(AA$24-$I106 &lt;=1, 5/6, AA$24-$I106 &lt;=5, (7-(AA$24-$I106))/6, AND(AA$24-$I106 =6,NOT(_xlfn.IFNA(ISNUMBER(SEARCH("Rending",$L106)),FALSE))), (7-(AA$24-$I106))/6, AND(AA$24-$I106 &gt;=7,NOT(_xlfn.IFNA(ISNUMBER(SEARCH("Rending",$L106)),FALSE))), 0, AA$24-$I106 =7, (7-(AA$24-1-$I106))/6, AA$24-$I106 =8, (7-(AA$24-2-$I106))/6*2/3, AA$24-$I106 =9, (7-(AA$24-3-$I106))/6*1/3, TRUE, 0)) *
IF(ISNUMBER(SEARCH("Ordinance",$L106)),7/6,1) *
IF(OR(ISNUMBER(SEARCH("Melee",$L106)),ISNUMBER(SEARCH("Bypass",$L106))),1.5,1)</f>
        <v>1.9444444444444446</v>
      </c>
      <c r="AB106" s="17" cm="1">
        <f t="array" ref="AB106">$H106 *
IF(ISNUMBER(SEARCH("Rapid",$L106)),7/6,1) *
IF(OR(ISNUMBER(SEARCH("Beam",$L106)),ISNUMBER(SEARCH("Firestorm",$L106))),1, IF(ISNUMBER(SEARCH("Blast",$L106)),(4+$F106+(2-$F106)*0.5)/6*2,(4+$F106)/6)) *
IF(ISNUMBER(SEARCH("Fusion",$L106)), _xlfn.IFS(AB$24-$I106 &lt;=1, 9/10, AB$24-$I106 &lt;=10,(11-(AB$24-$I106))/10, AB$24-$I106 &gt;=11, 0),
_xlfn.IFS(AB$24-$I106 &lt;=1, 5/6, AB$24-$I106 &lt;=5, (7-(AB$24-$I106))/6, AND(AB$24-$I106 =6,NOT(_xlfn.IFNA(ISNUMBER(SEARCH("Rending",$L106)),FALSE))), (7-(AB$24-$I106))/6, AND(AB$24-$I106 &gt;=7,NOT(_xlfn.IFNA(ISNUMBER(SEARCH("Rending",$L106)),FALSE))), 0, AB$24-$I106 =7, (7-(AB$24-1-$I106))/6, AB$24-$I106 =8, (7-(AB$24-2-$I106))/6*2/3, AB$24-$I106 =9, (7-(AB$24-3-$I106))/6*1/3, TRUE, 0)) *
IF(ISNUMBER(SEARCH("Ordinance",$L106)),7/6,1) *
IF(OR(ISNUMBER(SEARCH("Melee",$L106)),ISNUMBER(SEARCH("Bypass",$L106))),1.5,1)</f>
        <v>0</v>
      </c>
      <c r="AC106" s="17" cm="1">
        <f t="array" ref="AC106">$H106 *
IF(ISNUMBER(SEARCH("Rapid",$L106)),7/6,1) *
IF(OR(ISNUMBER(SEARCH("Beam",$L106)),ISNUMBER(SEARCH("Firestorm",$L106))),1, IF(ISNUMBER(SEARCH("Blast",$L106)),(4+$F106+(2-$F106)*0.5)/6*2,(4+$F106)/6)) *
IF(ISNUMBER(SEARCH("Fusion",$L106)), _xlfn.IFS(AC$24-$I106 &lt;=1, 9/10, AC$24-$I106 &lt;=10,(11-(AC$24-$I106))/10, AC$24-$I106 &gt;=11, 0),
_xlfn.IFS(AC$24-$I106 &lt;=1, 5/6, AC$24-$I106 &lt;=5, (7-(AC$24-$I106))/6, AND(AC$24-$I106 =6,NOT(_xlfn.IFNA(ISNUMBER(SEARCH("Rending",$L106)),FALSE))), (7-(AC$24-$I106))/6, AND(AC$24-$I106 &gt;=7,NOT(_xlfn.IFNA(ISNUMBER(SEARCH("Rending",$L106)),FALSE))), 0, AC$24-$I106 =7, (7-(AC$24-1-$I106))/6, AC$24-$I106 =8, (7-(AC$24-2-$I106))/6*2/3, AC$24-$I106 =9, (7-(AC$24-3-$I106))/6*1/3, TRUE, 0)) *
IF(ISNUMBER(SEARCH("Ordinance",$L106)),7/6,1) *
IF(OR(ISNUMBER(SEARCH("Melee",$L106)),ISNUMBER(SEARCH("Bypass",$L106))),1.5,1)</f>
        <v>0</v>
      </c>
      <c r="AD106" s="17" cm="1">
        <f t="array" ref="AD106">$H106 *
IF(ISNUMBER(SEARCH("Rapid",$L106)),7/6,1) *
IF(OR(ISNUMBER(SEARCH("Beam",$L106)),ISNUMBER(SEARCH("Firestorm",$L106))),1, IF(ISNUMBER(SEARCH("Blast",$L106)),(4+$F106+(2-$F106)*0.5)/6*2,(4+$F106)/6)) *
IF(ISNUMBER(SEARCH("Fusion",$L106)), _xlfn.IFS(AD$24-$I106 &lt;=1, 9/10, AD$24-$I106 &lt;=10,(11-(AD$24-$I106))/10, AD$24-$I106 &gt;=11, 0),
_xlfn.IFS(AD$24-$I106 &lt;=1, 5/6, AD$24-$I106 &lt;=5, (7-(AD$24-$I106))/6, AND(AD$24-$I106 =6,NOT(_xlfn.IFNA(ISNUMBER(SEARCH("Rending",$L106)),FALSE))), (7-(AD$24-$I106))/6, AND(AD$24-$I106 &gt;=7,NOT(_xlfn.IFNA(ISNUMBER(SEARCH("Rending",$L106)),FALSE))), 0, AD$24-$I106 =7, (7-(AD$24-1-$I106))/6, AD$24-$I106 =8, (7-(AD$24-2-$I106))/6*2/3, AD$24-$I106 =9, (7-(AD$24-3-$I106))/6*1/3, TRUE, 0)) *
IF(ISNUMBER(SEARCH("Ordinance",$L106)),7/6,1) *
IF(OR(ISNUMBER(SEARCH("Melee",$L106)),ISNUMBER(SEARCH("Bypass",$L106))),1.5,1)</f>
        <v>0</v>
      </c>
      <c r="AE106" s="17" cm="1">
        <f t="array" ref="AE106">$H106 *
IF(ISNUMBER(SEARCH("Rapid",$L106)),7/6,1) *
IF(OR(ISNUMBER(SEARCH("Beam",$L106)),ISNUMBER(SEARCH("Firestorm",$L106))),1, IF(ISNUMBER(SEARCH("Blast",$L106)),(4+$F106+(2-$F106)*0.5)/6*2,(4+$F106)/6)) *
IF(ISNUMBER(SEARCH("Fusion",$L106)), _xlfn.IFS(AE$24-$I106 &lt;=1, 9/10, AE$24-$I106 &lt;=10,(11-(AE$24-$I106))/10, AE$24-$I106 &gt;=11, 0),
_xlfn.IFS(AE$24-$I106 &lt;=1, 5/6, AE$24-$I106 &lt;=5, (7-(AE$24-$I106))/6, AND(AE$24-$I106 =6,NOT(_xlfn.IFNA(ISNUMBER(SEARCH("Rending",$L106)),FALSE))), (7-(AE$24-$I106))/6, AND(AE$24-$I106 &gt;=7,NOT(_xlfn.IFNA(ISNUMBER(SEARCH("Rending",$L106)),FALSE))), 0, AE$24-$I106 =7, (7-(AE$24-1-$I106))/6, AE$24-$I106 =8, (7-(AE$24-2-$I106))/6*2/3, AE$24-$I106 =9, (7-(AE$24-3-$I106))/6*1/3, TRUE, 0)) *
IF(ISNUMBER(SEARCH("Ordinance",$L106)),7/6,1) *
IF(OR(ISNUMBER(SEARCH("Melee",$L106)),ISNUMBER(SEARCH("Bypass",$L106))),1.5,1)</f>
        <v>0</v>
      </c>
      <c r="AF106" s="17" cm="1">
        <f t="array" ref="AF106">$H106 *
IF(ISNUMBER(SEARCH("Rapid",$L106)),7/6,1) *
IF(OR(ISNUMBER(SEARCH("Beam",$L106)),ISNUMBER(SEARCH("Firestorm",$L106))),1, IF(ISNUMBER(SEARCH("Blast",$L106)),(4+$F106+(2-$F106)*0.5)/6*2,(4+$F106)/6)) *
IF(ISNUMBER(SEARCH("Fusion",$L106)), _xlfn.IFS(AF$24-$I106 &lt;=1, 9/10, AF$24-$I106 &lt;=10,(11-(AF$24-$I106))/10, AF$24-$I106 &gt;=11, 0),
_xlfn.IFS(AF$24-$I106 &lt;=1, 5/6, AF$24-$I106 &lt;=5, (7-(AF$24-$I106))/6, AND(AF$24-$I106 =6,NOT(_xlfn.IFNA(ISNUMBER(SEARCH("Rending",$L106)),FALSE))), (7-(AF$24-$I106))/6, AND(AF$24-$I106 &gt;=7,NOT(_xlfn.IFNA(ISNUMBER(SEARCH("Rending",$L106)),FALSE))), 0, AF$24-$I106 =7, (7-(AF$24-1-$I106))/6, AF$24-$I106 =8, (7-(AF$24-2-$I106))/6*2/3, AF$24-$I106 =9, (7-(AF$24-3-$I106))/6*1/3, TRUE, 0)) *
IF(ISNUMBER(SEARCH("Ordinance",$L106)),7/6,1) *
IF(OR(ISNUMBER(SEARCH("Melee",$L106)),ISNUMBER(SEARCH("Bypass",$L106))),1.5,1)</f>
        <v>0</v>
      </c>
      <c r="AG106" s="16">
        <f t="shared" si="22"/>
        <v>2.333333333333333</v>
      </c>
      <c r="AH106" s="16">
        <f t="shared" si="23"/>
        <v>3.5</v>
      </c>
      <c r="AI106" s="17" cm="1">
        <f t="array" ref="AI106">$H106 *
IF(ISNUMBER(SEARCH("Rapid",$L106)),7/6,1) *
IF(OR(ISNUMBER(SEARCH("Beam",$L106)),ISNUMBER(SEARCH("Firestorm",$L106))),1, IF(ISNUMBER(SEARCH("Blast",$L106)),(4+$G106+(2-$G106)*0.5)/6*2,(4+$G106)/6)) *
_xlfn.IFS(AI$24-$I106 &lt;=1, 5/6, AI$24-$I106 &lt;=5, (7-(AI$24-$I106))/6, AND(AI$24-$I106 =6,NOT(_xlfn.IFNA(ISNUMBER(SEARCH("Rending",$L106)),FALSE))), (7-(AI$24-$I106))/6, AND(AI$24-$I106 &gt;=7,NOT(_xlfn.IFNA(ISNUMBER(SEARCH("Rending",$L106)),FALSE))), 0, AI$24-$I106 =7, (7-(AI$24-1-$I106))/6, AI$24-$I106 =8, (7-(AI$24-2-$I106))/6*2/3, AI$24-$I106 =9, (7-(AI$24-3-$I106))/6*1/3, TRUE, 0) *
IF(ISNUMBER(SEARCH("Ordinance",$L106)),7/6,1) *
IF(OR(ISNUMBER(SEARCH("Melee",$L106)),ISNUMBER(SEARCH("Bypass",$L106))),1.5,1)</f>
        <v>4.6666666666666661</v>
      </c>
      <c r="AJ106" s="17" cm="1">
        <f t="array" ref="AJ106">$H106 *
IF(ISNUMBER(SEARCH("Rapid",$L106)),7/6,1) *
IF(OR(ISNUMBER(SEARCH("Beam",$L106)),ISNUMBER(SEARCH("Firestorm",$L106))),1, IF(ISNUMBER(SEARCH("Blast",$L106)),(4+$G106+(2-$G106)*0.5)/6*2,(4+$G106)/6)) *
_xlfn.IFS(AJ$24-$I106 &lt;=1, 5/6, AJ$24-$I106 &lt;=5, (7-(AJ$24-$I106))/6, AND(AJ$24-$I106 =6,NOT(_xlfn.IFNA(ISNUMBER(SEARCH("Rending",$L106)),FALSE))), (7-(AJ$24-$I106))/6, AND(AJ$24-$I106 &gt;=7,NOT(_xlfn.IFNA(ISNUMBER(SEARCH("Rending",$L106)),FALSE))), 0, AJ$24-$I106 =7, (7-(AJ$24-1-$I106))/6, AJ$24-$I106 =8, (7-(AJ$24-2-$I106))/6*2/3, AJ$24-$I106 =9, (7-(AJ$24-3-$I106))/6*1/3, TRUE, 0) *
IF(ISNUMBER(SEARCH("Ordinance",$L106)),7/6,1) *
IF(OR(ISNUMBER(SEARCH("Melee",$L106)),ISNUMBER(SEARCH("Bypass",$L106))),1.5,1)</f>
        <v>3.5</v>
      </c>
      <c r="AK106" s="17" cm="1">
        <f t="array" ref="AK106">$H106 *
IF(ISNUMBER(SEARCH("Rapid",$L106)),7/6,1) *
IF(OR(ISNUMBER(SEARCH("Beam",$L106)),ISNUMBER(SEARCH("Firestorm",$L106))),1, IF(ISNUMBER(SEARCH("Blast",$L106)),(4+$G106+(2-$G106)*0.5)/6*2,(4+$G106)/6)) *
_xlfn.IFS(AK$24-$I106 &lt;=1, 5/6, AK$24-$I106 &lt;=5, (7-(AK$24-$I106))/6, AND(AK$24-$I106 =6,NOT(_xlfn.IFNA(ISNUMBER(SEARCH("Rending",$L106)),FALSE))), (7-(AK$24-$I106))/6, AND(AK$24-$I106 &gt;=7,NOT(_xlfn.IFNA(ISNUMBER(SEARCH("Rending",$L106)),FALSE))), 0, AK$24-$I106 =7, (7-(AK$24-1-$I106))/6, AK$24-$I106 =8, (7-(AK$24-2-$I106))/6*2/3, AK$24-$I106 =9, (7-(AK$24-3-$I106))/6*1/3, TRUE, 0) *
IF(ISNUMBER(SEARCH("Ordinance",$L106)),7/6,1) *
IF(OR(ISNUMBER(SEARCH("Melee",$L106)),ISNUMBER(SEARCH("Bypass",$L106))),1.5,1)</f>
        <v>2.333333333333333</v>
      </c>
      <c r="AL106" s="17" cm="1">
        <f t="array" ref="AL106">$H106 *
IF(ISNUMBER(SEARCH("Rapid",$L106)),7/6,1) *
IF(OR(ISNUMBER(SEARCH("Beam",$L106)),ISNUMBER(SEARCH("Firestorm",$L106))),1, IF(ISNUMBER(SEARCH("Blast",$L106)),(4+$G106+(2-$G106)*0.5)/6*2,(4+$G106)/6)) *
_xlfn.IFS(AL$24-$I106 &lt;=1, 5/6, AL$24-$I106 &lt;=5, (7-(AL$24-$I106))/6, AND(AL$24-$I106 =6,NOT(_xlfn.IFNA(ISNUMBER(SEARCH("Rending",$L106)),FALSE))), (7-(AL$24-$I106))/6, AND(AL$24-$I106 &gt;=7,NOT(_xlfn.IFNA(ISNUMBER(SEARCH("Rending",$L106)),FALSE))), 0, AL$24-$I106 =7, (7-(AL$24-1-$I106))/6, AL$24-$I106 =8, (7-(AL$24-2-$I106))/6*2/3, AL$24-$I106 =9, (7-(AL$24-3-$I106))/6*1/3, TRUE, 0) *
IF(ISNUMBER(SEARCH("Ordinance",$L106)),7/6,1) *
IF(OR(ISNUMBER(SEARCH("Melee",$L106)),ISNUMBER(SEARCH("Bypass",$L106))),1.5,1)</f>
        <v>1.1666666666666665</v>
      </c>
      <c r="AM106" s="17" cm="1">
        <f t="array" ref="AM106">$H106 *
IF(ISNUMBER(SEARCH("Rapid",$L106)),7/6,1) *
IF(OR(ISNUMBER(SEARCH("Beam",$L106)),ISNUMBER(SEARCH("Firestorm",$L106))),1, IF(ISNUMBER(SEARCH("Blast",$L106)),(4+$G106+(2-$G106)*0.5)/6*2,(4+$G106)/6)) *
_xlfn.IFS(AM$24-$I106 &lt;=1, 5/6, AM$24-$I106 &lt;=5, (7-(AM$24-$I106))/6, AND(AM$24-$I106 =6,NOT(_xlfn.IFNA(ISNUMBER(SEARCH("Rending",$L106)),FALSE))), (7-(AM$24-$I106))/6, AND(AM$24-$I106 &gt;=7,NOT(_xlfn.IFNA(ISNUMBER(SEARCH("Rending",$L106)),FALSE))), 0, AM$24-$I106 =7, (7-(AM$24-1-$I106))/6, AM$24-$I106 =8, (7-(AM$24-2-$I106))/6*2/3, AM$24-$I106 =9, (7-(AM$24-3-$I106))/6*1/3, TRUE, 0) *
IF(ISNUMBER(SEARCH("Ordinance",$L106)),7/6,1) *
IF(OR(ISNUMBER(SEARCH("Melee",$L106)),ISNUMBER(SEARCH("Bypass",$L106))),1.5,1)</f>
        <v>0</v>
      </c>
      <c r="AN106" s="17" cm="1">
        <f t="array" ref="AN106">$H106 *
IF(ISNUMBER(SEARCH("Rapid",$L106)),7/6,1) *
IF(OR(ISNUMBER(SEARCH("Beam",$L106)),ISNUMBER(SEARCH("Firestorm",$L106))),1, IF(ISNUMBER(SEARCH("Blast",$L106)),(4+$G106+(2-$G106)*0.5)/6*2,(4+$G106)/6)) *
_xlfn.IFS(AN$24-$I106 &lt;=1, 5/6, AN$24-$I106 &lt;=5, (7-(AN$24-$I106))/6, AND(AN$24-$I106 =6,NOT(_xlfn.IFNA(ISNUMBER(SEARCH("Rending",$L106)),FALSE))), (7-(AN$24-$I106))/6, AND(AN$24-$I106 &gt;=7,NOT(_xlfn.IFNA(ISNUMBER(SEARCH("Rending",$L106)),FALSE))), 0, AN$24-$I106 =7, (7-(AN$24-1-$I106))/6, AN$24-$I106 =8, (7-(AN$24-2-$I106))/6*2/3, AN$24-$I106 =9, (7-(AN$24-3-$I106))/6*1/3, TRUE, 0) *
IF(ISNUMBER(SEARCH("Ordinance",$L106)),7/6,1) *
IF(OR(ISNUMBER(SEARCH("Melee",$L106)),ISNUMBER(SEARCH("Bypass",$L106))),1.5,1)</f>
        <v>0</v>
      </c>
      <c r="AO106" s="17" cm="1">
        <f t="array" ref="AO106">$H106 *
IF(ISNUMBER(SEARCH("Rapid",$L106)),7/6,1) *
IF(OR(ISNUMBER(SEARCH("Beam",$L106)),ISNUMBER(SEARCH("Firestorm",$L106))),1, IF(ISNUMBER(SEARCH("Blast",$L106)),(4+$G106+(2-$G106)*0.5)/6*2,(4+$G106)/6)) *
_xlfn.IFS(AO$24-$I106 &lt;=1, 5/6, AO$24-$I106 &lt;=5, (7-(AO$24-$I106))/6, AND(AO$24-$I106 =6,NOT(_xlfn.IFNA(ISNUMBER(SEARCH("Rending",$L106)),FALSE))), (7-(AO$24-$I106))/6, AND(AO$24-$I106 &gt;=7,NOT(_xlfn.IFNA(ISNUMBER(SEARCH("Rending",$L106)),FALSE))), 0, AO$24-$I106 =7, (7-(AO$24-1-$I106))/6, AO$24-$I106 =8, (7-(AO$24-2-$I106))/6*2/3, AO$24-$I106 =9, (7-(AO$24-3-$I106))/6*1/3, TRUE, 0) *
IF(ISNUMBER(SEARCH("Ordinance",$L106)),7/6,1) *
IF(OR(ISNUMBER(SEARCH("Melee",$L106)),ISNUMBER(SEARCH("Bypass",$L106))),1.5,1)</f>
        <v>0</v>
      </c>
      <c r="AP106" s="17" cm="1">
        <f t="array" ref="AP106">$H106 *
IF(ISNUMBER(SEARCH("Rapid",$L106)),7/6,1) *
IF(OR(ISNUMBER(SEARCH("Beam",$L106)),ISNUMBER(SEARCH("Firestorm",$L106))),1, IF(ISNUMBER(SEARCH("Blast",$L106)),(4+$G106+(2-$G106)*0.5)/6*2,(4+$G106)/6)) *
_xlfn.IFS(AP$24-$I106 &lt;=1, 5/6, AP$24-$I106 &lt;=5, (7-(AP$24-$I106))/6, AND(AP$24-$I106 =6,NOT(_xlfn.IFNA(ISNUMBER(SEARCH("Rending",$L106)),FALSE))), (7-(AP$24-$I106))/6, AND(AP$24-$I106 &gt;=7,NOT(_xlfn.IFNA(ISNUMBER(SEARCH("Rending",$L106)),FALSE))), 0, AP$24-$I106 =7, (7-(AP$24-1-$I106))/6, AP$24-$I106 =8, (7-(AP$24-2-$I106))/6*2/3, AP$24-$I106 =9, (7-(AP$24-3-$I106))/6*1/3, TRUE, 0) *
IF(ISNUMBER(SEARCH("Ordinance",$L106)),7/6,1) *
IF(OR(ISNUMBER(SEARCH("Melee",$L106)),ISNUMBER(SEARCH("Bypass",$L106))),1.5,1)</f>
        <v>0</v>
      </c>
      <c r="AQ106" s="17" cm="1">
        <f t="array" ref="AQ106">$H106 *
IF(ISNUMBER(SEARCH("Rapid",$L106)),7/6,1) *
IF(OR(ISNUMBER(SEARCH("Beam",$L106)),ISNUMBER(SEARCH("Firestorm",$L106))),1, IF(ISNUMBER(SEARCH("Blast",$L106)),(4+$G106+(2-$G106)*0.5)/6*2,(4+$G106)/6)) *
_xlfn.IFS(AQ$24-$I106 &lt;=1, 5/6, AQ$24-$I106 &lt;=5, (7-(AQ$24-$I106))/6, AND(AQ$24-$I106 =6,NOT(_xlfn.IFNA(ISNUMBER(SEARCH("Rending",$L106)),FALSE))), (7-(AQ$24-$I106))/6, AND(AQ$24-$I106 &gt;=7,NOT(_xlfn.IFNA(ISNUMBER(SEARCH("Rending",$L106)),FALSE))), 0, AQ$24-$I106 =7, (7-(AQ$24-1-$I106))/6, AQ$24-$I106 =8, (7-(AQ$24-2-$I106))/6*2/3, AQ$24-$I106 =9, (7-(AQ$24-3-$I106))/6*1/3, TRUE, 0) *
IF(ISNUMBER(SEARCH("Ordinance",$L106)),7/6,1) *
IF(OR(ISNUMBER(SEARCH("Melee",$L106)),ISNUMBER(SEARCH("Bypass",$L106))),1.5,1)</f>
        <v>0</v>
      </c>
      <c r="AS106" s="16">
        <f t="shared" si="26"/>
        <v>2.333333333333333</v>
      </c>
      <c r="AT106" s="16">
        <f t="shared" si="27"/>
        <v>3.5</v>
      </c>
      <c r="AU106" s="16">
        <f t="shared" si="28"/>
        <v>3.1370370370370373</v>
      </c>
      <c r="AV106" s="2">
        <v>9</v>
      </c>
    </row>
    <row r="107" spans="1:48" x14ac:dyDescent="0.3">
      <c r="A107" t="s">
        <v>282</v>
      </c>
      <c r="B107" s="3">
        <v>10</v>
      </c>
      <c r="C107" s="3">
        <v>20</v>
      </c>
      <c r="D107" s="3">
        <v>1</v>
      </c>
      <c r="E107" s="3">
        <v>1</v>
      </c>
      <c r="F107" s="10">
        <v>1</v>
      </c>
      <c r="G107" s="10">
        <v>0</v>
      </c>
      <c r="H107" s="3">
        <v>12</v>
      </c>
      <c r="I107" s="3">
        <v>4</v>
      </c>
      <c r="J107" s="3" t="s">
        <v>254</v>
      </c>
      <c r="K107" s="3">
        <v>45</v>
      </c>
      <c r="L107" s="3" t="s">
        <v>257</v>
      </c>
      <c r="M107" s="3" t="s">
        <v>199</v>
      </c>
      <c r="N107" s="3">
        <v>11</v>
      </c>
      <c r="O107" s="3">
        <v>11</v>
      </c>
      <c r="P107" s="3">
        <v>15</v>
      </c>
      <c r="Q107" s="3" t="s">
        <v>200</v>
      </c>
      <c r="R107" s="3">
        <v>7</v>
      </c>
      <c r="S107" s="3">
        <v>9</v>
      </c>
      <c r="T107" s="3">
        <v>3</v>
      </c>
      <c r="V107" s="16">
        <f t="shared" si="20"/>
        <v>3.8888888888888893</v>
      </c>
      <c r="W107" s="16">
        <f t="shared" si="21"/>
        <v>5.8333333333333339</v>
      </c>
      <c r="X107" s="17" cm="1">
        <f t="array" ref="X107">$H107 *
IF(ISNUMBER(SEARCH("Rapid",$L107)),7/6,1) *
IF(OR(ISNUMBER(SEARCH("Beam",$L107)),ISNUMBER(SEARCH("Firestorm",$L107))),1, IF(ISNUMBER(SEARCH("Blast",$L107)),(4+$F107+(2-$F107)*0.5)/6*2,(4+$F107)/6)) *
IF(ISNUMBER(SEARCH("Fusion",$L107)), _xlfn.IFS(X$24-$I107 &lt;=1, 9/10, X$24-$I107 &lt;=10,(11-(X$24-$I107))/10, X$24-$I107 &gt;=11, 0),
_xlfn.IFS(X$24-$I107 &lt;=1, 5/6, X$24-$I107 &lt;=5, (7-(X$24-$I107))/6, AND(X$24-$I107 =6,NOT(_xlfn.IFNA(ISNUMBER(SEARCH("Rending",$L107)),FALSE))), (7-(X$24-$I107))/6, AND(X$24-$I107 &gt;=7,NOT(_xlfn.IFNA(ISNUMBER(SEARCH("Rending",$L107)),FALSE))), 0, X$24-$I107 =7, (7-(X$24-1-$I107))/6, X$24-$I107 =8, (7-(X$24-2-$I107))/6*2/3, X$24-$I107 =9, (7-(X$24-3-$I107))/6*1/3, TRUE, 0)) *
IF(ISNUMBER(SEARCH("Ordinance",$L107)),7/6,1) *
IF(OR(ISNUMBER(SEARCH("Melee",$L107)),ISNUMBER(SEARCH("Bypass",$L107))),1.5,1)</f>
        <v>3.8888888888888893</v>
      </c>
      <c r="Y107" s="17" cm="1">
        <f t="array" ref="Y107">$H107 *
IF(ISNUMBER(SEARCH("Rapid",$L107)),7/6,1) *
IF(OR(ISNUMBER(SEARCH("Beam",$L107)),ISNUMBER(SEARCH("Firestorm",$L107))),1, IF(ISNUMBER(SEARCH("Blast",$L107)),(4+$F107+(2-$F107)*0.5)/6*2,(4+$F107)/6)) *
IF(ISNUMBER(SEARCH("Fusion",$L107)), _xlfn.IFS(Y$24-$I107 &lt;=1, 9/10, Y$24-$I107 &lt;=10,(11-(Y$24-$I107))/10, Y$24-$I107 &gt;=11, 0),
_xlfn.IFS(Y$24-$I107 &lt;=1, 5/6, Y$24-$I107 &lt;=5, (7-(Y$24-$I107))/6, AND(Y$24-$I107 =6,NOT(_xlfn.IFNA(ISNUMBER(SEARCH("Rending",$L107)),FALSE))), (7-(Y$24-$I107))/6, AND(Y$24-$I107 &gt;=7,NOT(_xlfn.IFNA(ISNUMBER(SEARCH("Rending",$L107)),FALSE))), 0, Y$24-$I107 =7, (7-(Y$24-1-$I107))/6, Y$24-$I107 =8, (7-(Y$24-2-$I107))/6*2/3, Y$24-$I107 =9, (7-(Y$24-3-$I107))/6*1/3, TRUE, 0)) *
IF(ISNUMBER(SEARCH("Ordinance",$L107)),7/6,1) *
IF(OR(ISNUMBER(SEARCH("Melee",$L107)),ISNUMBER(SEARCH("Bypass",$L107))),1.5,1)</f>
        <v>1.9444444444444446</v>
      </c>
      <c r="Z107" s="17" cm="1">
        <f t="array" ref="Z107">$H107 *
IF(ISNUMBER(SEARCH("Rapid",$L107)),7/6,1) *
IF(OR(ISNUMBER(SEARCH("Beam",$L107)),ISNUMBER(SEARCH("Firestorm",$L107))),1, IF(ISNUMBER(SEARCH("Blast",$L107)),(4+$F107+(2-$F107)*0.5)/6*2,(4+$F107)/6)) *
IF(ISNUMBER(SEARCH("Fusion",$L107)), _xlfn.IFS(Z$24-$I107 &lt;=1, 9/10, Z$24-$I107 &lt;=10,(11-(Z$24-$I107))/10, Z$24-$I107 &gt;=11, 0),
_xlfn.IFS(Z$24-$I107 &lt;=1, 5/6, Z$24-$I107 &lt;=5, (7-(Z$24-$I107))/6, AND(Z$24-$I107 =6,NOT(_xlfn.IFNA(ISNUMBER(SEARCH("Rending",$L107)),FALSE))), (7-(Z$24-$I107))/6, AND(Z$24-$I107 &gt;=7,NOT(_xlfn.IFNA(ISNUMBER(SEARCH("Rending",$L107)),FALSE))), 0, Z$24-$I107 =7, (7-(Z$24-1-$I107))/6, Z$24-$I107 =8, (7-(Z$24-2-$I107))/6*2/3, Z$24-$I107 =9, (7-(Z$24-3-$I107))/6*1/3, TRUE, 0)) *
IF(ISNUMBER(SEARCH("Ordinance",$L107)),7/6,1) *
IF(OR(ISNUMBER(SEARCH("Melee",$L107)),ISNUMBER(SEARCH("Bypass",$L107))),1.5,1)</f>
        <v>0</v>
      </c>
      <c r="AA107" s="17" cm="1">
        <f t="array" ref="AA107">$H107 *
IF(ISNUMBER(SEARCH("Rapid",$L107)),7/6,1) *
IF(OR(ISNUMBER(SEARCH("Beam",$L107)),ISNUMBER(SEARCH("Firestorm",$L107))),1, IF(ISNUMBER(SEARCH("Blast",$L107)),(4+$F107+(2-$F107)*0.5)/6*2,(4+$F107)/6)) *
IF(ISNUMBER(SEARCH("Fusion",$L107)), _xlfn.IFS(AA$24-$I107 &lt;=1, 9/10, AA$24-$I107 &lt;=10,(11-(AA$24-$I107))/10, AA$24-$I107 &gt;=11, 0),
_xlfn.IFS(AA$24-$I107 &lt;=1, 5/6, AA$24-$I107 &lt;=5, (7-(AA$24-$I107))/6, AND(AA$24-$I107 =6,NOT(_xlfn.IFNA(ISNUMBER(SEARCH("Rending",$L107)),FALSE))), (7-(AA$24-$I107))/6, AND(AA$24-$I107 &gt;=7,NOT(_xlfn.IFNA(ISNUMBER(SEARCH("Rending",$L107)),FALSE))), 0, AA$24-$I107 =7, (7-(AA$24-1-$I107))/6, AA$24-$I107 =8, (7-(AA$24-2-$I107))/6*2/3, AA$24-$I107 =9, (7-(AA$24-3-$I107))/6*1/3, TRUE, 0)) *
IF(ISNUMBER(SEARCH("Ordinance",$L107)),7/6,1) *
IF(OR(ISNUMBER(SEARCH("Melee",$L107)),ISNUMBER(SEARCH("Bypass",$L107))),1.5,1)</f>
        <v>0</v>
      </c>
      <c r="AB107" s="17" cm="1">
        <f t="array" ref="AB107">$H107 *
IF(ISNUMBER(SEARCH("Rapid",$L107)),7/6,1) *
IF(OR(ISNUMBER(SEARCH("Beam",$L107)),ISNUMBER(SEARCH("Firestorm",$L107))),1, IF(ISNUMBER(SEARCH("Blast",$L107)),(4+$F107+(2-$F107)*0.5)/6*2,(4+$F107)/6)) *
IF(ISNUMBER(SEARCH("Fusion",$L107)), _xlfn.IFS(AB$24-$I107 &lt;=1, 9/10, AB$24-$I107 &lt;=10,(11-(AB$24-$I107))/10, AB$24-$I107 &gt;=11, 0),
_xlfn.IFS(AB$24-$I107 &lt;=1, 5/6, AB$24-$I107 &lt;=5, (7-(AB$24-$I107))/6, AND(AB$24-$I107 =6,NOT(_xlfn.IFNA(ISNUMBER(SEARCH("Rending",$L107)),FALSE))), (7-(AB$24-$I107))/6, AND(AB$24-$I107 &gt;=7,NOT(_xlfn.IFNA(ISNUMBER(SEARCH("Rending",$L107)),FALSE))), 0, AB$24-$I107 =7, (7-(AB$24-1-$I107))/6, AB$24-$I107 =8, (7-(AB$24-2-$I107))/6*2/3, AB$24-$I107 =9, (7-(AB$24-3-$I107))/6*1/3, TRUE, 0)) *
IF(ISNUMBER(SEARCH("Ordinance",$L107)),7/6,1) *
IF(OR(ISNUMBER(SEARCH("Melee",$L107)),ISNUMBER(SEARCH("Bypass",$L107))),1.5,1)</f>
        <v>0</v>
      </c>
      <c r="AC107" s="17" cm="1">
        <f t="array" ref="AC107">$H107 *
IF(ISNUMBER(SEARCH("Rapid",$L107)),7/6,1) *
IF(OR(ISNUMBER(SEARCH("Beam",$L107)),ISNUMBER(SEARCH("Firestorm",$L107))),1, IF(ISNUMBER(SEARCH("Blast",$L107)),(4+$F107+(2-$F107)*0.5)/6*2,(4+$F107)/6)) *
IF(ISNUMBER(SEARCH("Fusion",$L107)), _xlfn.IFS(AC$24-$I107 &lt;=1, 9/10, AC$24-$I107 &lt;=10,(11-(AC$24-$I107))/10, AC$24-$I107 &gt;=11, 0),
_xlfn.IFS(AC$24-$I107 &lt;=1, 5/6, AC$24-$I107 &lt;=5, (7-(AC$24-$I107))/6, AND(AC$24-$I107 =6,NOT(_xlfn.IFNA(ISNUMBER(SEARCH("Rending",$L107)),FALSE))), (7-(AC$24-$I107))/6, AND(AC$24-$I107 &gt;=7,NOT(_xlfn.IFNA(ISNUMBER(SEARCH("Rending",$L107)),FALSE))), 0, AC$24-$I107 =7, (7-(AC$24-1-$I107))/6, AC$24-$I107 =8, (7-(AC$24-2-$I107))/6*2/3, AC$24-$I107 =9, (7-(AC$24-3-$I107))/6*1/3, TRUE, 0)) *
IF(ISNUMBER(SEARCH("Ordinance",$L107)),7/6,1) *
IF(OR(ISNUMBER(SEARCH("Melee",$L107)),ISNUMBER(SEARCH("Bypass",$L107))),1.5,1)</f>
        <v>0</v>
      </c>
      <c r="AD107" s="17" cm="1">
        <f t="array" ref="AD107">$H107 *
IF(ISNUMBER(SEARCH("Rapid",$L107)),7/6,1) *
IF(OR(ISNUMBER(SEARCH("Beam",$L107)),ISNUMBER(SEARCH("Firestorm",$L107))),1, IF(ISNUMBER(SEARCH("Blast",$L107)),(4+$F107+(2-$F107)*0.5)/6*2,(4+$F107)/6)) *
IF(ISNUMBER(SEARCH("Fusion",$L107)), _xlfn.IFS(AD$24-$I107 &lt;=1, 9/10, AD$24-$I107 &lt;=10,(11-(AD$24-$I107))/10, AD$24-$I107 &gt;=11, 0),
_xlfn.IFS(AD$24-$I107 &lt;=1, 5/6, AD$24-$I107 &lt;=5, (7-(AD$24-$I107))/6, AND(AD$24-$I107 =6,NOT(_xlfn.IFNA(ISNUMBER(SEARCH("Rending",$L107)),FALSE))), (7-(AD$24-$I107))/6, AND(AD$24-$I107 &gt;=7,NOT(_xlfn.IFNA(ISNUMBER(SEARCH("Rending",$L107)),FALSE))), 0, AD$24-$I107 =7, (7-(AD$24-1-$I107))/6, AD$24-$I107 =8, (7-(AD$24-2-$I107))/6*2/3, AD$24-$I107 =9, (7-(AD$24-3-$I107))/6*1/3, TRUE, 0)) *
IF(ISNUMBER(SEARCH("Ordinance",$L107)),7/6,1) *
IF(OR(ISNUMBER(SEARCH("Melee",$L107)),ISNUMBER(SEARCH("Bypass",$L107))),1.5,1)</f>
        <v>0</v>
      </c>
      <c r="AE107" s="17" cm="1">
        <f t="array" ref="AE107">$H107 *
IF(ISNUMBER(SEARCH("Rapid",$L107)),7/6,1) *
IF(OR(ISNUMBER(SEARCH("Beam",$L107)),ISNUMBER(SEARCH("Firestorm",$L107))),1, IF(ISNUMBER(SEARCH("Blast",$L107)),(4+$F107+(2-$F107)*0.5)/6*2,(4+$F107)/6)) *
IF(ISNUMBER(SEARCH("Fusion",$L107)), _xlfn.IFS(AE$24-$I107 &lt;=1, 9/10, AE$24-$I107 &lt;=10,(11-(AE$24-$I107))/10, AE$24-$I107 &gt;=11, 0),
_xlfn.IFS(AE$24-$I107 &lt;=1, 5/6, AE$24-$I107 &lt;=5, (7-(AE$24-$I107))/6, AND(AE$24-$I107 =6,NOT(_xlfn.IFNA(ISNUMBER(SEARCH("Rending",$L107)),FALSE))), (7-(AE$24-$I107))/6, AND(AE$24-$I107 &gt;=7,NOT(_xlfn.IFNA(ISNUMBER(SEARCH("Rending",$L107)),FALSE))), 0, AE$24-$I107 =7, (7-(AE$24-1-$I107))/6, AE$24-$I107 =8, (7-(AE$24-2-$I107))/6*2/3, AE$24-$I107 =9, (7-(AE$24-3-$I107))/6*1/3, TRUE, 0)) *
IF(ISNUMBER(SEARCH("Ordinance",$L107)),7/6,1) *
IF(OR(ISNUMBER(SEARCH("Melee",$L107)),ISNUMBER(SEARCH("Bypass",$L107))),1.5,1)</f>
        <v>0</v>
      </c>
      <c r="AF107" s="17" cm="1">
        <f t="array" ref="AF107">$H107 *
IF(ISNUMBER(SEARCH("Rapid",$L107)),7/6,1) *
IF(OR(ISNUMBER(SEARCH("Beam",$L107)),ISNUMBER(SEARCH("Firestorm",$L107))),1, IF(ISNUMBER(SEARCH("Blast",$L107)),(4+$F107+(2-$F107)*0.5)/6*2,(4+$F107)/6)) *
IF(ISNUMBER(SEARCH("Fusion",$L107)), _xlfn.IFS(AF$24-$I107 &lt;=1, 9/10, AF$24-$I107 &lt;=10,(11-(AF$24-$I107))/10, AF$24-$I107 &gt;=11, 0),
_xlfn.IFS(AF$24-$I107 &lt;=1, 5/6, AF$24-$I107 &lt;=5, (7-(AF$24-$I107))/6, AND(AF$24-$I107 =6,NOT(_xlfn.IFNA(ISNUMBER(SEARCH("Rending",$L107)),FALSE))), (7-(AF$24-$I107))/6, AND(AF$24-$I107 &gt;=7,NOT(_xlfn.IFNA(ISNUMBER(SEARCH("Rending",$L107)),FALSE))), 0, AF$24-$I107 =7, (7-(AF$24-1-$I107))/6, AF$24-$I107 =8, (7-(AF$24-2-$I107))/6*2/3, AF$24-$I107 =9, (7-(AF$24-3-$I107))/6*1/3, TRUE, 0)) *
IF(ISNUMBER(SEARCH("Ordinance",$L107)),7/6,1) *
IF(OR(ISNUMBER(SEARCH("Melee",$L107)),ISNUMBER(SEARCH("Bypass",$L107))),1.5,1)</f>
        <v>0</v>
      </c>
      <c r="AG107" s="16">
        <f t="shared" si="22"/>
        <v>3.1111111111111107</v>
      </c>
      <c r="AH107" s="16">
        <f t="shared" si="23"/>
        <v>4.6666666666666661</v>
      </c>
      <c r="AI107" s="17" cm="1">
        <f t="array" ref="AI107">$H107 *
IF(ISNUMBER(SEARCH("Rapid",$L107)),7/6,1) *
IF(OR(ISNUMBER(SEARCH("Beam",$L107)),ISNUMBER(SEARCH("Firestorm",$L107))),1, IF(ISNUMBER(SEARCH("Blast",$L107)),(4+$G107+(2-$G107)*0.5)/6*2,(4+$G107)/6)) *
_xlfn.IFS(AI$24-$I107 &lt;=1, 5/6, AI$24-$I107 &lt;=5, (7-(AI$24-$I107))/6, AND(AI$24-$I107 =6,NOT(_xlfn.IFNA(ISNUMBER(SEARCH("Rending",$L107)),FALSE))), (7-(AI$24-$I107))/6, AND(AI$24-$I107 &gt;=7,NOT(_xlfn.IFNA(ISNUMBER(SEARCH("Rending",$L107)),FALSE))), 0, AI$24-$I107 =7, (7-(AI$24-1-$I107))/6, AI$24-$I107 =8, (7-(AI$24-2-$I107))/6*2/3, AI$24-$I107 =9, (7-(AI$24-3-$I107))/6*1/3, TRUE, 0) *
IF(ISNUMBER(SEARCH("Ordinance",$L107)),7/6,1) *
IF(OR(ISNUMBER(SEARCH("Melee",$L107)),ISNUMBER(SEARCH("Bypass",$L107))),1.5,1)</f>
        <v>3.1111111111111107</v>
      </c>
      <c r="AJ107" s="17" cm="1">
        <f t="array" ref="AJ107">$H107 *
IF(ISNUMBER(SEARCH("Rapid",$L107)),7/6,1) *
IF(OR(ISNUMBER(SEARCH("Beam",$L107)),ISNUMBER(SEARCH("Firestorm",$L107))),1, IF(ISNUMBER(SEARCH("Blast",$L107)),(4+$G107+(2-$G107)*0.5)/6*2,(4+$G107)/6)) *
_xlfn.IFS(AJ$24-$I107 &lt;=1, 5/6, AJ$24-$I107 &lt;=5, (7-(AJ$24-$I107))/6, AND(AJ$24-$I107 =6,NOT(_xlfn.IFNA(ISNUMBER(SEARCH("Rending",$L107)),FALSE))), (7-(AJ$24-$I107))/6, AND(AJ$24-$I107 &gt;=7,NOT(_xlfn.IFNA(ISNUMBER(SEARCH("Rending",$L107)),FALSE))), 0, AJ$24-$I107 =7, (7-(AJ$24-1-$I107))/6, AJ$24-$I107 =8, (7-(AJ$24-2-$I107))/6*2/3, AJ$24-$I107 =9, (7-(AJ$24-3-$I107))/6*1/3, TRUE, 0) *
IF(ISNUMBER(SEARCH("Ordinance",$L107)),7/6,1) *
IF(OR(ISNUMBER(SEARCH("Melee",$L107)),ISNUMBER(SEARCH("Bypass",$L107))),1.5,1)</f>
        <v>1.5555555555555554</v>
      </c>
      <c r="AK107" s="17" cm="1">
        <f t="array" ref="AK107">$H107 *
IF(ISNUMBER(SEARCH("Rapid",$L107)),7/6,1) *
IF(OR(ISNUMBER(SEARCH("Beam",$L107)),ISNUMBER(SEARCH("Firestorm",$L107))),1, IF(ISNUMBER(SEARCH("Blast",$L107)),(4+$G107+(2-$G107)*0.5)/6*2,(4+$G107)/6)) *
_xlfn.IFS(AK$24-$I107 &lt;=1, 5/6, AK$24-$I107 &lt;=5, (7-(AK$24-$I107))/6, AND(AK$24-$I107 =6,NOT(_xlfn.IFNA(ISNUMBER(SEARCH("Rending",$L107)),FALSE))), (7-(AK$24-$I107))/6, AND(AK$24-$I107 &gt;=7,NOT(_xlfn.IFNA(ISNUMBER(SEARCH("Rending",$L107)),FALSE))), 0, AK$24-$I107 =7, (7-(AK$24-1-$I107))/6, AK$24-$I107 =8, (7-(AK$24-2-$I107))/6*2/3, AK$24-$I107 =9, (7-(AK$24-3-$I107))/6*1/3, TRUE, 0) *
IF(ISNUMBER(SEARCH("Ordinance",$L107)),7/6,1) *
IF(OR(ISNUMBER(SEARCH("Melee",$L107)),ISNUMBER(SEARCH("Bypass",$L107))),1.5,1)</f>
        <v>0</v>
      </c>
      <c r="AL107" s="17" cm="1">
        <f t="array" ref="AL107">$H107 *
IF(ISNUMBER(SEARCH("Rapid",$L107)),7/6,1) *
IF(OR(ISNUMBER(SEARCH("Beam",$L107)),ISNUMBER(SEARCH("Firestorm",$L107))),1, IF(ISNUMBER(SEARCH("Blast",$L107)),(4+$G107+(2-$G107)*0.5)/6*2,(4+$G107)/6)) *
_xlfn.IFS(AL$24-$I107 &lt;=1, 5/6, AL$24-$I107 &lt;=5, (7-(AL$24-$I107))/6, AND(AL$24-$I107 =6,NOT(_xlfn.IFNA(ISNUMBER(SEARCH("Rending",$L107)),FALSE))), (7-(AL$24-$I107))/6, AND(AL$24-$I107 &gt;=7,NOT(_xlfn.IFNA(ISNUMBER(SEARCH("Rending",$L107)),FALSE))), 0, AL$24-$I107 =7, (7-(AL$24-1-$I107))/6, AL$24-$I107 =8, (7-(AL$24-2-$I107))/6*2/3, AL$24-$I107 =9, (7-(AL$24-3-$I107))/6*1/3, TRUE, 0) *
IF(ISNUMBER(SEARCH("Ordinance",$L107)),7/6,1) *
IF(OR(ISNUMBER(SEARCH("Melee",$L107)),ISNUMBER(SEARCH("Bypass",$L107))),1.5,1)</f>
        <v>0</v>
      </c>
      <c r="AM107" s="17" cm="1">
        <f t="array" ref="AM107">$H107 *
IF(ISNUMBER(SEARCH("Rapid",$L107)),7/6,1) *
IF(OR(ISNUMBER(SEARCH("Beam",$L107)),ISNUMBER(SEARCH("Firestorm",$L107))),1, IF(ISNUMBER(SEARCH("Blast",$L107)),(4+$G107+(2-$G107)*0.5)/6*2,(4+$G107)/6)) *
_xlfn.IFS(AM$24-$I107 &lt;=1, 5/6, AM$24-$I107 &lt;=5, (7-(AM$24-$I107))/6, AND(AM$24-$I107 =6,NOT(_xlfn.IFNA(ISNUMBER(SEARCH("Rending",$L107)),FALSE))), (7-(AM$24-$I107))/6, AND(AM$24-$I107 &gt;=7,NOT(_xlfn.IFNA(ISNUMBER(SEARCH("Rending",$L107)),FALSE))), 0, AM$24-$I107 =7, (7-(AM$24-1-$I107))/6, AM$24-$I107 =8, (7-(AM$24-2-$I107))/6*2/3, AM$24-$I107 =9, (7-(AM$24-3-$I107))/6*1/3, TRUE, 0) *
IF(ISNUMBER(SEARCH("Ordinance",$L107)),7/6,1) *
IF(OR(ISNUMBER(SEARCH("Melee",$L107)),ISNUMBER(SEARCH("Bypass",$L107))),1.5,1)</f>
        <v>0</v>
      </c>
      <c r="AN107" s="17" cm="1">
        <f t="array" ref="AN107">$H107 *
IF(ISNUMBER(SEARCH("Rapid",$L107)),7/6,1) *
IF(OR(ISNUMBER(SEARCH("Beam",$L107)),ISNUMBER(SEARCH("Firestorm",$L107))),1, IF(ISNUMBER(SEARCH("Blast",$L107)),(4+$G107+(2-$G107)*0.5)/6*2,(4+$G107)/6)) *
_xlfn.IFS(AN$24-$I107 &lt;=1, 5/6, AN$24-$I107 &lt;=5, (7-(AN$24-$I107))/6, AND(AN$24-$I107 =6,NOT(_xlfn.IFNA(ISNUMBER(SEARCH("Rending",$L107)),FALSE))), (7-(AN$24-$I107))/6, AND(AN$24-$I107 &gt;=7,NOT(_xlfn.IFNA(ISNUMBER(SEARCH("Rending",$L107)),FALSE))), 0, AN$24-$I107 =7, (7-(AN$24-1-$I107))/6, AN$24-$I107 =8, (7-(AN$24-2-$I107))/6*2/3, AN$24-$I107 =9, (7-(AN$24-3-$I107))/6*1/3, TRUE, 0) *
IF(ISNUMBER(SEARCH("Ordinance",$L107)),7/6,1) *
IF(OR(ISNUMBER(SEARCH("Melee",$L107)),ISNUMBER(SEARCH("Bypass",$L107))),1.5,1)</f>
        <v>0</v>
      </c>
      <c r="AO107" s="17" cm="1">
        <f t="array" ref="AO107">$H107 *
IF(ISNUMBER(SEARCH("Rapid",$L107)),7/6,1) *
IF(OR(ISNUMBER(SEARCH("Beam",$L107)),ISNUMBER(SEARCH("Firestorm",$L107))),1, IF(ISNUMBER(SEARCH("Blast",$L107)),(4+$G107+(2-$G107)*0.5)/6*2,(4+$G107)/6)) *
_xlfn.IFS(AO$24-$I107 &lt;=1, 5/6, AO$24-$I107 &lt;=5, (7-(AO$24-$I107))/6, AND(AO$24-$I107 =6,NOT(_xlfn.IFNA(ISNUMBER(SEARCH("Rending",$L107)),FALSE))), (7-(AO$24-$I107))/6, AND(AO$24-$I107 &gt;=7,NOT(_xlfn.IFNA(ISNUMBER(SEARCH("Rending",$L107)),FALSE))), 0, AO$24-$I107 =7, (7-(AO$24-1-$I107))/6, AO$24-$I107 =8, (7-(AO$24-2-$I107))/6*2/3, AO$24-$I107 =9, (7-(AO$24-3-$I107))/6*1/3, TRUE, 0) *
IF(ISNUMBER(SEARCH("Ordinance",$L107)),7/6,1) *
IF(OR(ISNUMBER(SEARCH("Melee",$L107)),ISNUMBER(SEARCH("Bypass",$L107))),1.5,1)</f>
        <v>0</v>
      </c>
      <c r="AP107" s="17" cm="1">
        <f t="array" ref="AP107">$H107 *
IF(ISNUMBER(SEARCH("Rapid",$L107)),7/6,1) *
IF(OR(ISNUMBER(SEARCH("Beam",$L107)),ISNUMBER(SEARCH("Firestorm",$L107))),1, IF(ISNUMBER(SEARCH("Blast",$L107)),(4+$G107+(2-$G107)*0.5)/6*2,(4+$G107)/6)) *
_xlfn.IFS(AP$24-$I107 &lt;=1, 5/6, AP$24-$I107 &lt;=5, (7-(AP$24-$I107))/6, AND(AP$24-$I107 =6,NOT(_xlfn.IFNA(ISNUMBER(SEARCH("Rending",$L107)),FALSE))), (7-(AP$24-$I107))/6, AND(AP$24-$I107 &gt;=7,NOT(_xlfn.IFNA(ISNUMBER(SEARCH("Rending",$L107)),FALSE))), 0, AP$24-$I107 =7, (7-(AP$24-1-$I107))/6, AP$24-$I107 =8, (7-(AP$24-2-$I107))/6*2/3, AP$24-$I107 =9, (7-(AP$24-3-$I107))/6*1/3, TRUE, 0) *
IF(ISNUMBER(SEARCH("Ordinance",$L107)),7/6,1) *
IF(OR(ISNUMBER(SEARCH("Melee",$L107)),ISNUMBER(SEARCH("Bypass",$L107))),1.5,1)</f>
        <v>0</v>
      </c>
      <c r="AQ107" s="17" cm="1">
        <f t="array" ref="AQ107">$H107 *
IF(ISNUMBER(SEARCH("Rapid",$L107)),7/6,1) *
IF(OR(ISNUMBER(SEARCH("Beam",$L107)),ISNUMBER(SEARCH("Firestorm",$L107))),1, IF(ISNUMBER(SEARCH("Blast",$L107)),(4+$G107+(2-$G107)*0.5)/6*2,(4+$G107)/6)) *
_xlfn.IFS(AQ$24-$I107 &lt;=1, 5/6, AQ$24-$I107 &lt;=5, (7-(AQ$24-$I107))/6, AND(AQ$24-$I107 =6,NOT(_xlfn.IFNA(ISNUMBER(SEARCH("Rending",$L107)),FALSE))), (7-(AQ$24-$I107))/6, AND(AQ$24-$I107 &gt;=7,NOT(_xlfn.IFNA(ISNUMBER(SEARCH("Rending",$L107)),FALSE))), 0, AQ$24-$I107 =7, (7-(AQ$24-1-$I107))/6, AQ$24-$I107 =8, (7-(AQ$24-2-$I107))/6*2/3, AQ$24-$I107 =9, (7-(AQ$24-3-$I107))/6*1/3, TRUE, 0) *
IF(ISNUMBER(SEARCH("Ordinance",$L107)),7/6,1) *
IF(OR(ISNUMBER(SEARCH("Melee",$L107)),ISNUMBER(SEARCH("Bypass",$L107))),1.5,1)</f>
        <v>0</v>
      </c>
      <c r="AS107" s="16">
        <f t="shared" si="26"/>
        <v>3.1111111111111107</v>
      </c>
      <c r="AT107" s="16">
        <f t="shared" si="27"/>
        <v>4.6666666666666661</v>
      </c>
      <c r="AU107" s="16">
        <f t="shared" si="28"/>
        <v>1.7888888888888888</v>
      </c>
      <c r="AV107" s="2">
        <v>9</v>
      </c>
    </row>
    <row r="108" spans="1:48" x14ac:dyDescent="0.3">
      <c r="A108" t="s">
        <v>245</v>
      </c>
      <c r="B108" s="3">
        <v>30</v>
      </c>
      <c r="C108" s="3">
        <v>120</v>
      </c>
      <c r="D108" s="3">
        <v>1</v>
      </c>
      <c r="E108" s="3">
        <v>2</v>
      </c>
      <c r="F108" s="10"/>
      <c r="G108" s="10">
        <v>1</v>
      </c>
      <c r="H108" s="3">
        <v>10</v>
      </c>
      <c r="I108" s="3">
        <v>4</v>
      </c>
      <c r="J108" s="3" t="s">
        <v>254</v>
      </c>
      <c r="K108" s="3">
        <v>15</v>
      </c>
      <c r="L108" s="3" t="s">
        <v>306</v>
      </c>
      <c r="M108" s="3" t="s">
        <v>236</v>
      </c>
      <c r="N108" s="3">
        <v>11</v>
      </c>
      <c r="O108" s="3">
        <v>11</v>
      </c>
      <c r="P108" s="3">
        <v>15</v>
      </c>
      <c r="Q108" s="3" t="s">
        <v>200</v>
      </c>
      <c r="R108" s="3">
        <v>7</v>
      </c>
      <c r="S108" s="3">
        <v>9</v>
      </c>
      <c r="T108" s="3">
        <v>4</v>
      </c>
      <c r="U108" t="s">
        <v>307</v>
      </c>
      <c r="V108" s="16">
        <f t="shared" si="20"/>
        <v>2.2222222222222219</v>
      </c>
      <c r="W108" s="16">
        <f t="shared" si="21"/>
        <v>3.333333333333333</v>
      </c>
      <c r="X108" s="17" cm="1">
        <f t="array" ref="X108">$H108 *
IF(ISNUMBER(SEARCH("Rapid",$L108)),7/6,1) *
IF(OR(ISNUMBER(SEARCH("Beam",$L108)),ISNUMBER(SEARCH("Firestorm",$L108))),1, IF(ISNUMBER(SEARCH("Blast",$L108)),(4+$F108+(2-$F108)*0.5)/6*2,(4+$F108)/6)) *
IF(ISNUMBER(SEARCH("Fusion",$L108)), _xlfn.IFS(X$24-$I108 &lt;=1, 9/10, X$24-$I108 &lt;=10,(11-(X$24-$I108))/10, X$24-$I108 &gt;=11, 0),
_xlfn.IFS(X$24-$I108 &lt;=1, 5/6, X$24-$I108 &lt;=5, (7-(X$24-$I108))/6, AND(X$24-$I108 =6,NOT(_xlfn.IFNA(ISNUMBER(SEARCH("Rending",$L108)),FALSE))), (7-(X$24-$I108))/6, AND(X$24-$I108 &gt;=7,NOT(_xlfn.IFNA(ISNUMBER(SEARCH("Rending",$L108)),FALSE))), 0, X$24-$I108 =7, (7-(X$24-1-$I108))/6, X$24-$I108 =8, (7-(X$24-2-$I108))/6*2/3, X$24-$I108 =9, (7-(X$24-3-$I108))/6*1/3, TRUE, 0)) *
IF(ISNUMBER(SEARCH("Ordinance",$L108)),7/6,1) *
IF(OR(ISNUMBER(SEARCH("Melee",$L108)),ISNUMBER(SEARCH("Bypass",$L108))),1.5,1)</f>
        <v>2.2222222222222219</v>
      </c>
      <c r="Y108" s="17" cm="1">
        <f t="array" ref="Y108">$H108 *
IF(ISNUMBER(SEARCH("Rapid",$L108)),7/6,1) *
IF(OR(ISNUMBER(SEARCH("Beam",$L108)),ISNUMBER(SEARCH("Firestorm",$L108))),1, IF(ISNUMBER(SEARCH("Blast",$L108)),(4+$F108+(2-$F108)*0.5)/6*2,(4+$F108)/6)) *
IF(ISNUMBER(SEARCH("Fusion",$L108)), _xlfn.IFS(Y$24-$I108 &lt;=1, 9/10, Y$24-$I108 &lt;=10,(11-(Y$24-$I108))/10, Y$24-$I108 &gt;=11, 0),
_xlfn.IFS(Y$24-$I108 &lt;=1, 5/6, Y$24-$I108 &lt;=5, (7-(Y$24-$I108))/6, AND(Y$24-$I108 =6,NOT(_xlfn.IFNA(ISNUMBER(SEARCH("Rending",$L108)),FALSE))), (7-(Y$24-$I108))/6, AND(Y$24-$I108 &gt;=7,NOT(_xlfn.IFNA(ISNUMBER(SEARCH("Rending",$L108)),FALSE))), 0, Y$24-$I108 =7, (7-(Y$24-1-$I108))/6, Y$24-$I108 =8, (7-(Y$24-2-$I108))/6*2/3, Y$24-$I108 =9, (7-(Y$24-3-$I108))/6*1/3, TRUE, 0)) *
IF(ISNUMBER(SEARCH("Ordinance",$L108)),7/6,1) *
IF(OR(ISNUMBER(SEARCH("Melee",$L108)),ISNUMBER(SEARCH("Bypass",$L108))),1.5,1)</f>
        <v>1.1111111111111109</v>
      </c>
      <c r="Z108" s="17" cm="1">
        <f t="array" ref="Z108">$H108 *
IF(ISNUMBER(SEARCH("Rapid",$L108)),7/6,1) *
IF(OR(ISNUMBER(SEARCH("Beam",$L108)),ISNUMBER(SEARCH("Firestorm",$L108))),1, IF(ISNUMBER(SEARCH("Blast",$L108)),(4+$F108+(2-$F108)*0.5)/6*2,(4+$F108)/6)) *
IF(ISNUMBER(SEARCH("Fusion",$L108)), _xlfn.IFS(Z$24-$I108 &lt;=1, 9/10, Z$24-$I108 &lt;=10,(11-(Z$24-$I108))/10, Z$24-$I108 &gt;=11, 0),
_xlfn.IFS(Z$24-$I108 &lt;=1, 5/6, Z$24-$I108 &lt;=5, (7-(Z$24-$I108))/6, AND(Z$24-$I108 =6,NOT(_xlfn.IFNA(ISNUMBER(SEARCH("Rending",$L108)),FALSE))), (7-(Z$24-$I108))/6, AND(Z$24-$I108 &gt;=7,NOT(_xlfn.IFNA(ISNUMBER(SEARCH("Rending",$L108)),FALSE))), 0, Z$24-$I108 =7, (7-(Z$24-1-$I108))/6, Z$24-$I108 =8, (7-(Z$24-2-$I108))/6*2/3, Z$24-$I108 =9, (7-(Z$24-3-$I108))/6*1/3, TRUE, 0)) *
IF(ISNUMBER(SEARCH("Ordinance",$L108)),7/6,1) *
IF(OR(ISNUMBER(SEARCH("Melee",$L108)),ISNUMBER(SEARCH("Bypass",$L108))),1.5,1)</f>
        <v>0</v>
      </c>
      <c r="AA108" s="17" cm="1">
        <f t="array" ref="AA108">$H108 *
IF(ISNUMBER(SEARCH("Rapid",$L108)),7/6,1) *
IF(OR(ISNUMBER(SEARCH("Beam",$L108)),ISNUMBER(SEARCH("Firestorm",$L108))),1, IF(ISNUMBER(SEARCH("Blast",$L108)),(4+$F108+(2-$F108)*0.5)/6*2,(4+$F108)/6)) *
IF(ISNUMBER(SEARCH("Fusion",$L108)), _xlfn.IFS(AA$24-$I108 &lt;=1, 9/10, AA$24-$I108 &lt;=10,(11-(AA$24-$I108))/10, AA$24-$I108 &gt;=11, 0),
_xlfn.IFS(AA$24-$I108 &lt;=1, 5/6, AA$24-$I108 &lt;=5, (7-(AA$24-$I108))/6, AND(AA$24-$I108 =6,NOT(_xlfn.IFNA(ISNUMBER(SEARCH("Rending",$L108)),FALSE))), (7-(AA$24-$I108))/6, AND(AA$24-$I108 &gt;=7,NOT(_xlfn.IFNA(ISNUMBER(SEARCH("Rending",$L108)),FALSE))), 0, AA$24-$I108 =7, (7-(AA$24-1-$I108))/6, AA$24-$I108 =8, (7-(AA$24-2-$I108))/6*2/3, AA$24-$I108 =9, (7-(AA$24-3-$I108))/6*1/3, TRUE, 0)) *
IF(ISNUMBER(SEARCH("Ordinance",$L108)),7/6,1) *
IF(OR(ISNUMBER(SEARCH("Melee",$L108)),ISNUMBER(SEARCH("Bypass",$L108))),1.5,1)</f>
        <v>0</v>
      </c>
      <c r="AB108" s="17" cm="1">
        <f t="array" ref="AB108">$H108 *
IF(ISNUMBER(SEARCH("Rapid",$L108)),7/6,1) *
IF(OR(ISNUMBER(SEARCH("Beam",$L108)),ISNUMBER(SEARCH("Firestorm",$L108))),1, IF(ISNUMBER(SEARCH("Blast",$L108)),(4+$F108+(2-$F108)*0.5)/6*2,(4+$F108)/6)) *
IF(ISNUMBER(SEARCH("Fusion",$L108)), _xlfn.IFS(AB$24-$I108 &lt;=1, 9/10, AB$24-$I108 &lt;=10,(11-(AB$24-$I108))/10, AB$24-$I108 &gt;=11, 0),
_xlfn.IFS(AB$24-$I108 &lt;=1, 5/6, AB$24-$I108 &lt;=5, (7-(AB$24-$I108))/6, AND(AB$24-$I108 =6,NOT(_xlfn.IFNA(ISNUMBER(SEARCH("Rending",$L108)),FALSE))), (7-(AB$24-$I108))/6, AND(AB$24-$I108 &gt;=7,NOT(_xlfn.IFNA(ISNUMBER(SEARCH("Rending",$L108)),FALSE))), 0, AB$24-$I108 =7, (7-(AB$24-1-$I108))/6, AB$24-$I108 =8, (7-(AB$24-2-$I108))/6*2/3, AB$24-$I108 =9, (7-(AB$24-3-$I108))/6*1/3, TRUE, 0)) *
IF(ISNUMBER(SEARCH("Ordinance",$L108)),7/6,1) *
IF(OR(ISNUMBER(SEARCH("Melee",$L108)),ISNUMBER(SEARCH("Bypass",$L108))),1.5,1)</f>
        <v>0</v>
      </c>
      <c r="AC108" s="17" cm="1">
        <f t="array" ref="AC108">$H108 *
IF(ISNUMBER(SEARCH("Rapid",$L108)),7/6,1) *
IF(OR(ISNUMBER(SEARCH("Beam",$L108)),ISNUMBER(SEARCH("Firestorm",$L108))),1, IF(ISNUMBER(SEARCH("Blast",$L108)),(4+$F108+(2-$F108)*0.5)/6*2,(4+$F108)/6)) *
IF(ISNUMBER(SEARCH("Fusion",$L108)), _xlfn.IFS(AC$24-$I108 &lt;=1, 9/10, AC$24-$I108 &lt;=10,(11-(AC$24-$I108))/10, AC$24-$I108 &gt;=11, 0),
_xlfn.IFS(AC$24-$I108 &lt;=1, 5/6, AC$24-$I108 &lt;=5, (7-(AC$24-$I108))/6, AND(AC$24-$I108 =6,NOT(_xlfn.IFNA(ISNUMBER(SEARCH("Rending",$L108)),FALSE))), (7-(AC$24-$I108))/6, AND(AC$24-$I108 &gt;=7,NOT(_xlfn.IFNA(ISNUMBER(SEARCH("Rending",$L108)),FALSE))), 0, AC$24-$I108 =7, (7-(AC$24-1-$I108))/6, AC$24-$I108 =8, (7-(AC$24-2-$I108))/6*2/3, AC$24-$I108 =9, (7-(AC$24-3-$I108))/6*1/3, TRUE, 0)) *
IF(ISNUMBER(SEARCH("Ordinance",$L108)),7/6,1) *
IF(OR(ISNUMBER(SEARCH("Melee",$L108)),ISNUMBER(SEARCH("Bypass",$L108))),1.5,1)</f>
        <v>0</v>
      </c>
      <c r="AD108" s="17" cm="1">
        <f t="array" ref="AD108">$H108 *
IF(ISNUMBER(SEARCH("Rapid",$L108)),7/6,1) *
IF(OR(ISNUMBER(SEARCH("Beam",$L108)),ISNUMBER(SEARCH("Firestorm",$L108))),1, IF(ISNUMBER(SEARCH("Blast",$L108)),(4+$F108+(2-$F108)*0.5)/6*2,(4+$F108)/6)) *
IF(ISNUMBER(SEARCH("Fusion",$L108)), _xlfn.IFS(AD$24-$I108 &lt;=1, 9/10, AD$24-$I108 &lt;=10,(11-(AD$24-$I108))/10, AD$24-$I108 &gt;=11, 0),
_xlfn.IFS(AD$24-$I108 &lt;=1, 5/6, AD$24-$I108 &lt;=5, (7-(AD$24-$I108))/6, AND(AD$24-$I108 =6,NOT(_xlfn.IFNA(ISNUMBER(SEARCH("Rending",$L108)),FALSE))), (7-(AD$24-$I108))/6, AND(AD$24-$I108 &gt;=7,NOT(_xlfn.IFNA(ISNUMBER(SEARCH("Rending",$L108)),FALSE))), 0, AD$24-$I108 =7, (7-(AD$24-1-$I108))/6, AD$24-$I108 =8, (7-(AD$24-2-$I108))/6*2/3, AD$24-$I108 =9, (7-(AD$24-3-$I108))/6*1/3, TRUE, 0)) *
IF(ISNUMBER(SEARCH("Ordinance",$L108)),7/6,1) *
IF(OR(ISNUMBER(SEARCH("Melee",$L108)),ISNUMBER(SEARCH("Bypass",$L108))),1.5,1)</f>
        <v>0</v>
      </c>
      <c r="AE108" s="17" cm="1">
        <f t="array" ref="AE108">$H108 *
IF(ISNUMBER(SEARCH("Rapid",$L108)),7/6,1) *
IF(OR(ISNUMBER(SEARCH("Beam",$L108)),ISNUMBER(SEARCH("Firestorm",$L108))),1, IF(ISNUMBER(SEARCH("Blast",$L108)),(4+$F108+(2-$F108)*0.5)/6*2,(4+$F108)/6)) *
IF(ISNUMBER(SEARCH("Fusion",$L108)), _xlfn.IFS(AE$24-$I108 &lt;=1, 9/10, AE$24-$I108 &lt;=10,(11-(AE$24-$I108))/10, AE$24-$I108 &gt;=11, 0),
_xlfn.IFS(AE$24-$I108 &lt;=1, 5/6, AE$24-$I108 &lt;=5, (7-(AE$24-$I108))/6, AND(AE$24-$I108 =6,NOT(_xlfn.IFNA(ISNUMBER(SEARCH("Rending",$L108)),FALSE))), (7-(AE$24-$I108))/6, AND(AE$24-$I108 &gt;=7,NOT(_xlfn.IFNA(ISNUMBER(SEARCH("Rending",$L108)),FALSE))), 0, AE$24-$I108 =7, (7-(AE$24-1-$I108))/6, AE$24-$I108 =8, (7-(AE$24-2-$I108))/6*2/3, AE$24-$I108 =9, (7-(AE$24-3-$I108))/6*1/3, TRUE, 0)) *
IF(ISNUMBER(SEARCH("Ordinance",$L108)),7/6,1) *
IF(OR(ISNUMBER(SEARCH("Melee",$L108)),ISNUMBER(SEARCH("Bypass",$L108))),1.5,1)</f>
        <v>0</v>
      </c>
      <c r="AF108" s="17" cm="1">
        <f t="array" ref="AF108">$H108 *
IF(ISNUMBER(SEARCH("Rapid",$L108)),7/6,1) *
IF(OR(ISNUMBER(SEARCH("Beam",$L108)),ISNUMBER(SEARCH("Firestorm",$L108))),1, IF(ISNUMBER(SEARCH("Blast",$L108)),(4+$F108+(2-$F108)*0.5)/6*2,(4+$F108)/6)) *
IF(ISNUMBER(SEARCH("Fusion",$L108)), _xlfn.IFS(AF$24-$I108 &lt;=1, 9/10, AF$24-$I108 &lt;=10,(11-(AF$24-$I108))/10, AF$24-$I108 &gt;=11, 0),
_xlfn.IFS(AF$24-$I108 &lt;=1, 5/6, AF$24-$I108 &lt;=5, (7-(AF$24-$I108))/6, AND(AF$24-$I108 =6,NOT(_xlfn.IFNA(ISNUMBER(SEARCH("Rending",$L108)),FALSE))), (7-(AF$24-$I108))/6, AND(AF$24-$I108 &gt;=7,NOT(_xlfn.IFNA(ISNUMBER(SEARCH("Rending",$L108)),FALSE))), 0, AF$24-$I108 =7, (7-(AF$24-1-$I108))/6, AF$24-$I108 =8, (7-(AF$24-2-$I108))/6*2/3, AF$24-$I108 =9, (7-(AF$24-3-$I108))/6*1/3, TRUE, 0)) *
IF(ISNUMBER(SEARCH("Ordinance",$L108)),7/6,1) *
IF(OR(ISNUMBER(SEARCH("Melee",$L108)),ISNUMBER(SEARCH("Bypass",$L108))),1.5,1)</f>
        <v>0</v>
      </c>
      <c r="AG108" s="16">
        <f t="shared" si="22"/>
        <v>2.7777777777777777</v>
      </c>
      <c r="AH108" s="16">
        <f t="shared" si="23"/>
        <v>4.166666666666667</v>
      </c>
      <c r="AI108" s="17" cm="1">
        <f t="array" ref="AI108">$H108 *
IF(ISNUMBER(SEARCH("Rapid",$L108)),7/6,1) *
IF(OR(ISNUMBER(SEARCH("Beam",$L108)),ISNUMBER(SEARCH("Firestorm",$L108))),1, IF(ISNUMBER(SEARCH("Blast",$L108)),(4+$G108+(2-$G108)*0.5)/6*2,(4+$G108)/6)) *
_xlfn.IFS(AI$24-$I108 &lt;=1, 5/6, AI$24-$I108 &lt;=5, (7-(AI$24-$I108))/6, AND(AI$24-$I108 =6,NOT(_xlfn.IFNA(ISNUMBER(SEARCH("Rending",$L108)),FALSE))), (7-(AI$24-$I108))/6, AND(AI$24-$I108 &gt;=7,NOT(_xlfn.IFNA(ISNUMBER(SEARCH("Rending",$L108)),FALSE))), 0, AI$24-$I108 =7, (7-(AI$24-1-$I108))/6, AI$24-$I108 =8, (7-(AI$24-2-$I108))/6*2/3, AI$24-$I108 =9, (7-(AI$24-3-$I108))/6*1/3, TRUE, 0) *
IF(ISNUMBER(SEARCH("Ordinance",$L108)),7/6,1) *
IF(OR(ISNUMBER(SEARCH("Melee",$L108)),ISNUMBER(SEARCH("Bypass",$L108))),1.5,1)</f>
        <v>2.7777777777777777</v>
      </c>
      <c r="AJ108" s="17" cm="1">
        <f t="array" ref="AJ108">$H108 *
IF(ISNUMBER(SEARCH("Rapid",$L108)),7/6,1) *
IF(OR(ISNUMBER(SEARCH("Beam",$L108)),ISNUMBER(SEARCH("Firestorm",$L108))),1, IF(ISNUMBER(SEARCH("Blast",$L108)),(4+$G108+(2-$G108)*0.5)/6*2,(4+$G108)/6)) *
_xlfn.IFS(AJ$24-$I108 &lt;=1, 5/6, AJ$24-$I108 &lt;=5, (7-(AJ$24-$I108))/6, AND(AJ$24-$I108 =6,NOT(_xlfn.IFNA(ISNUMBER(SEARCH("Rending",$L108)),FALSE))), (7-(AJ$24-$I108))/6, AND(AJ$24-$I108 &gt;=7,NOT(_xlfn.IFNA(ISNUMBER(SEARCH("Rending",$L108)),FALSE))), 0, AJ$24-$I108 =7, (7-(AJ$24-1-$I108))/6, AJ$24-$I108 =8, (7-(AJ$24-2-$I108))/6*2/3, AJ$24-$I108 =9, (7-(AJ$24-3-$I108))/6*1/3, TRUE, 0) *
IF(ISNUMBER(SEARCH("Ordinance",$L108)),7/6,1) *
IF(OR(ISNUMBER(SEARCH("Melee",$L108)),ISNUMBER(SEARCH("Bypass",$L108))),1.5,1)</f>
        <v>1.3888888888888888</v>
      </c>
      <c r="AK108" s="17" cm="1">
        <f t="array" ref="AK108">$H108 *
IF(ISNUMBER(SEARCH("Rapid",$L108)),7/6,1) *
IF(OR(ISNUMBER(SEARCH("Beam",$L108)),ISNUMBER(SEARCH("Firestorm",$L108))),1, IF(ISNUMBER(SEARCH("Blast",$L108)),(4+$G108+(2-$G108)*0.5)/6*2,(4+$G108)/6)) *
_xlfn.IFS(AK$24-$I108 &lt;=1, 5/6, AK$24-$I108 &lt;=5, (7-(AK$24-$I108))/6, AND(AK$24-$I108 =6,NOT(_xlfn.IFNA(ISNUMBER(SEARCH("Rending",$L108)),FALSE))), (7-(AK$24-$I108))/6, AND(AK$24-$I108 &gt;=7,NOT(_xlfn.IFNA(ISNUMBER(SEARCH("Rending",$L108)),FALSE))), 0, AK$24-$I108 =7, (7-(AK$24-1-$I108))/6, AK$24-$I108 =8, (7-(AK$24-2-$I108))/6*2/3, AK$24-$I108 =9, (7-(AK$24-3-$I108))/6*1/3, TRUE, 0) *
IF(ISNUMBER(SEARCH("Ordinance",$L108)),7/6,1) *
IF(OR(ISNUMBER(SEARCH("Melee",$L108)),ISNUMBER(SEARCH("Bypass",$L108))),1.5,1)</f>
        <v>0</v>
      </c>
      <c r="AL108" s="17" cm="1">
        <f t="array" ref="AL108">$H108 *
IF(ISNUMBER(SEARCH("Rapid",$L108)),7/6,1) *
IF(OR(ISNUMBER(SEARCH("Beam",$L108)),ISNUMBER(SEARCH("Firestorm",$L108))),1, IF(ISNUMBER(SEARCH("Blast",$L108)),(4+$G108+(2-$G108)*0.5)/6*2,(4+$G108)/6)) *
_xlfn.IFS(AL$24-$I108 &lt;=1, 5/6, AL$24-$I108 &lt;=5, (7-(AL$24-$I108))/6, AND(AL$24-$I108 =6,NOT(_xlfn.IFNA(ISNUMBER(SEARCH("Rending",$L108)),FALSE))), (7-(AL$24-$I108))/6, AND(AL$24-$I108 &gt;=7,NOT(_xlfn.IFNA(ISNUMBER(SEARCH("Rending",$L108)),FALSE))), 0, AL$24-$I108 =7, (7-(AL$24-1-$I108))/6, AL$24-$I108 =8, (7-(AL$24-2-$I108))/6*2/3, AL$24-$I108 =9, (7-(AL$24-3-$I108))/6*1/3, TRUE, 0) *
IF(ISNUMBER(SEARCH("Ordinance",$L108)),7/6,1) *
IF(OR(ISNUMBER(SEARCH("Melee",$L108)),ISNUMBER(SEARCH("Bypass",$L108))),1.5,1)</f>
        <v>0</v>
      </c>
      <c r="AM108" s="17" cm="1">
        <f t="array" ref="AM108">$H108 *
IF(ISNUMBER(SEARCH("Rapid",$L108)),7/6,1) *
IF(OR(ISNUMBER(SEARCH("Beam",$L108)),ISNUMBER(SEARCH("Firestorm",$L108))),1, IF(ISNUMBER(SEARCH("Blast",$L108)),(4+$G108+(2-$G108)*0.5)/6*2,(4+$G108)/6)) *
_xlfn.IFS(AM$24-$I108 &lt;=1, 5/6, AM$24-$I108 &lt;=5, (7-(AM$24-$I108))/6, AND(AM$24-$I108 =6,NOT(_xlfn.IFNA(ISNUMBER(SEARCH("Rending",$L108)),FALSE))), (7-(AM$24-$I108))/6, AND(AM$24-$I108 &gt;=7,NOT(_xlfn.IFNA(ISNUMBER(SEARCH("Rending",$L108)),FALSE))), 0, AM$24-$I108 =7, (7-(AM$24-1-$I108))/6, AM$24-$I108 =8, (7-(AM$24-2-$I108))/6*2/3, AM$24-$I108 =9, (7-(AM$24-3-$I108))/6*1/3, TRUE, 0) *
IF(ISNUMBER(SEARCH("Ordinance",$L108)),7/6,1) *
IF(OR(ISNUMBER(SEARCH("Melee",$L108)),ISNUMBER(SEARCH("Bypass",$L108))),1.5,1)</f>
        <v>0</v>
      </c>
      <c r="AN108" s="17" cm="1">
        <f t="array" ref="AN108">$H108 *
IF(ISNUMBER(SEARCH("Rapid",$L108)),7/6,1) *
IF(OR(ISNUMBER(SEARCH("Beam",$L108)),ISNUMBER(SEARCH("Firestorm",$L108))),1, IF(ISNUMBER(SEARCH("Blast",$L108)),(4+$G108+(2-$G108)*0.5)/6*2,(4+$G108)/6)) *
_xlfn.IFS(AN$24-$I108 &lt;=1, 5/6, AN$24-$I108 &lt;=5, (7-(AN$24-$I108))/6, AND(AN$24-$I108 =6,NOT(_xlfn.IFNA(ISNUMBER(SEARCH("Rending",$L108)),FALSE))), (7-(AN$24-$I108))/6, AND(AN$24-$I108 &gt;=7,NOT(_xlfn.IFNA(ISNUMBER(SEARCH("Rending",$L108)),FALSE))), 0, AN$24-$I108 =7, (7-(AN$24-1-$I108))/6, AN$24-$I108 =8, (7-(AN$24-2-$I108))/6*2/3, AN$24-$I108 =9, (7-(AN$24-3-$I108))/6*1/3, TRUE, 0) *
IF(ISNUMBER(SEARCH("Ordinance",$L108)),7/6,1) *
IF(OR(ISNUMBER(SEARCH("Melee",$L108)),ISNUMBER(SEARCH("Bypass",$L108))),1.5,1)</f>
        <v>0</v>
      </c>
      <c r="AO108" s="17" cm="1">
        <f t="array" ref="AO108">$H108 *
IF(ISNUMBER(SEARCH("Rapid",$L108)),7/6,1) *
IF(OR(ISNUMBER(SEARCH("Beam",$L108)),ISNUMBER(SEARCH("Firestorm",$L108))),1, IF(ISNUMBER(SEARCH("Blast",$L108)),(4+$G108+(2-$G108)*0.5)/6*2,(4+$G108)/6)) *
_xlfn.IFS(AO$24-$I108 &lt;=1, 5/6, AO$24-$I108 &lt;=5, (7-(AO$24-$I108))/6, AND(AO$24-$I108 =6,NOT(_xlfn.IFNA(ISNUMBER(SEARCH("Rending",$L108)),FALSE))), (7-(AO$24-$I108))/6, AND(AO$24-$I108 &gt;=7,NOT(_xlfn.IFNA(ISNUMBER(SEARCH("Rending",$L108)),FALSE))), 0, AO$24-$I108 =7, (7-(AO$24-1-$I108))/6, AO$24-$I108 =8, (7-(AO$24-2-$I108))/6*2/3, AO$24-$I108 =9, (7-(AO$24-3-$I108))/6*1/3, TRUE, 0) *
IF(ISNUMBER(SEARCH("Ordinance",$L108)),7/6,1) *
IF(OR(ISNUMBER(SEARCH("Melee",$L108)),ISNUMBER(SEARCH("Bypass",$L108))),1.5,1)</f>
        <v>0</v>
      </c>
      <c r="AP108" s="17" cm="1">
        <f t="array" ref="AP108">$H108 *
IF(ISNUMBER(SEARCH("Rapid",$L108)),7/6,1) *
IF(OR(ISNUMBER(SEARCH("Beam",$L108)),ISNUMBER(SEARCH("Firestorm",$L108))),1, IF(ISNUMBER(SEARCH("Blast",$L108)),(4+$G108+(2-$G108)*0.5)/6*2,(4+$G108)/6)) *
_xlfn.IFS(AP$24-$I108 &lt;=1, 5/6, AP$24-$I108 &lt;=5, (7-(AP$24-$I108))/6, AND(AP$24-$I108 =6,NOT(_xlfn.IFNA(ISNUMBER(SEARCH("Rending",$L108)),FALSE))), (7-(AP$24-$I108))/6, AND(AP$24-$I108 &gt;=7,NOT(_xlfn.IFNA(ISNUMBER(SEARCH("Rending",$L108)),FALSE))), 0, AP$24-$I108 =7, (7-(AP$24-1-$I108))/6, AP$24-$I108 =8, (7-(AP$24-2-$I108))/6*2/3, AP$24-$I108 =9, (7-(AP$24-3-$I108))/6*1/3, TRUE, 0) *
IF(ISNUMBER(SEARCH("Ordinance",$L108)),7/6,1) *
IF(OR(ISNUMBER(SEARCH("Melee",$L108)),ISNUMBER(SEARCH("Bypass",$L108))),1.5,1)</f>
        <v>0</v>
      </c>
      <c r="AQ108" s="17" cm="1">
        <f t="array" ref="AQ108">$H108 *
IF(ISNUMBER(SEARCH("Rapid",$L108)),7/6,1) *
IF(OR(ISNUMBER(SEARCH("Beam",$L108)),ISNUMBER(SEARCH("Firestorm",$L108))),1, IF(ISNUMBER(SEARCH("Blast",$L108)),(4+$G108+(2-$G108)*0.5)/6*2,(4+$G108)/6)) *
_xlfn.IFS(AQ$24-$I108 &lt;=1, 5/6, AQ$24-$I108 &lt;=5, (7-(AQ$24-$I108))/6, AND(AQ$24-$I108 =6,NOT(_xlfn.IFNA(ISNUMBER(SEARCH("Rending",$L108)),FALSE))), (7-(AQ$24-$I108))/6, AND(AQ$24-$I108 &gt;=7,NOT(_xlfn.IFNA(ISNUMBER(SEARCH("Rending",$L108)),FALSE))), 0, AQ$24-$I108 =7, (7-(AQ$24-1-$I108))/6, AQ$24-$I108 =8, (7-(AQ$24-2-$I108))/6*2/3, AQ$24-$I108 =9, (7-(AQ$24-3-$I108))/6*1/3, TRUE, 0) *
IF(ISNUMBER(SEARCH("Ordinance",$L108)),7/6,1) *
IF(OR(ISNUMBER(SEARCH("Melee",$L108)),ISNUMBER(SEARCH("Bypass",$L108))),1.5,1)</f>
        <v>0</v>
      </c>
      <c r="AS108" s="16">
        <f t="shared" si="26"/>
        <v>1.8518518518518519</v>
      </c>
      <c r="AT108" s="16">
        <f t="shared" si="27"/>
        <v>2.7777777777777781</v>
      </c>
      <c r="AU108" s="16">
        <f t="shared" si="28"/>
        <v>2.1851851851851851</v>
      </c>
      <c r="AV108" s="2">
        <v>9</v>
      </c>
    </row>
    <row r="109" spans="1:48" x14ac:dyDescent="0.3">
      <c r="A109" t="s">
        <v>283</v>
      </c>
      <c r="B109" s="3">
        <v>30</v>
      </c>
      <c r="C109" s="3">
        <v>120</v>
      </c>
      <c r="D109" s="3">
        <v>1</v>
      </c>
      <c r="E109" s="3">
        <v>2</v>
      </c>
      <c r="F109" s="10"/>
      <c r="G109" s="10">
        <v>1</v>
      </c>
      <c r="H109" s="3">
        <v>10</v>
      </c>
      <c r="I109" s="3">
        <v>4</v>
      </c>
      <c r="J109" s="3" t="s">
        <v>254</v>
      </c>
      <c r="K109" s="3">
        <v>40</v>
      </c>
      <c r="L109" s="3" t="s">
        <v>258</v>
      </c>
      <c r="M109" s="3" t="s">
        <v>199</v>
      </c>
      <c r="N109" s="3">
        <v>11</v>
      </c>
      <c r="O109" s="3">
        <v>11</v>
      </c>
      <c r="P109" s="3">
        <v>15</v>
      </c>
      <c r="Q109" s="3" t="s">
        <v>200</v>
      </c>
      <c r="R109" s="3">
        <v>7</v>
      </c>
      <c r="S109" s="3">
        <v>9</v>
      </c>
      <c r="T109" s="3">
        <v>4</v>
      </c>
      <c r="V109" s="16">
        <f t="shared" si="20"/>
        <v>2.2222222222222219</v>
      </c>
      <c r="W109" s="16">
        <f t="shared" si="21"/>
        <v>3.333333333333333</v>
      </c>
      <c r="X109" s="17" cm="1">
        <f t="array" ref="X109">$H109 *
IF(ISNUMBER(SEARCH("Rapid",$L109)),7/6,1) *
IF(OR(ISNUMBER(SEARCH("Beam",$L109)),ISNUMBER(SEARCH("Firestorm",$L109))),1, IF(ISNUMBER(SEARCH("Blast",$L109)),(4+$F109+(2-$F109)*0.5)/6*2,(4+$F109)/6)) *
IF(ISNUMBER(SEARCH("Fusion",$L109)), _xlfn.IFS(X$24-$I109 &lt;=1, 9/10, X$24-$I109 &lt;=10,(11-(X$24-$I109))/10, X$24-$I109 &gt;=11, 0),
_xlfn.IFS(X$24-$I109 &lt;=1, 5/6, X$24-$I109 &lt;=5, (7-(X$24-$I109))/6, AND(X$24-$I109 =6,NOT(_xlfn.IFNA(ISNUMBER(SEARCH("Rending",$L109)),FALSE))), (7-(X$24-$I109))/6, AND(X$24-$I109 &gt;=7,NOT(_xlfn.IFNA(ISNUMBER(SEARCH("Rending",$L109)),FALSE))), 0, X$24-$I109 =7, (7-(X$24-1-$I109))/6, X$24-$I109 =8, (7-(X$24-2-$I109))/6*2/3, X$24-$I109 =9, (7-(X$24-3-$I109))/6*1/3, TRUE, 0)) *
IF(ISNUMBER(SEARCH("Ordinance",$L109)),7/6,1) *
IF(OR(ISNUMBER(SEARCH("Melee",$L109)),ISNUMBER(SEARCH("Bypass",$L109))),1.5,1)</f>
        <v>2.2222222222222219</v>
      </c>
      <c r="Y109" s="17" cm="1">
        <f t="array" ref="Y109">$H109 *
IF(ISNUMBER(SEARCH("Rapid",$L109)),7/6,1) *
IF(OR(ISNUMBER(SEARCH("Beam",$L109)),ISNUMBER(SEARCH("Firestorm",$L109))),1, IF(ISNUMBER(SEARCH("Blast",$L109)),(4+$F109+(2-$F109)*0.5)/6*2,(4+$F109)/6)) *
IF(ISNUMBER(SEARCH("Fusion",$L109)), _xlfn.IFS(Y$24-$I109 &lt;=1, 9/10, Y$24-$I109 &lt;=10,(11-(Y$24-$I109))/10, Y$24-$I109 &gt;=11, 0),
_xlfn.IFS(Y$24-$I109 &lt;=1, 5/6, Y$24-$I109 &lt;=5, (7-(Y$24-$I109))/6, AND(Y$24-$I109 =6,NOT(_xlfn.IFNA(ISNUMBER(SEARCH("Rending",$L109)),FALSE))), (7-(Y$24-$I109))/6, AND(Y$24-$I109 &gt;=7,NOT(_xlfn.IFNA(ISNUMBER(SEARCH("Rending",$L109)),FALSE))), 0, Y$24-$I109 =7, (7-(Y$24-1-$I109))/6, Y$24-$I109 =8, (7-(Y$24-2-$I109))/6*2/3, Y$24-$I109 =9, (7-(Y$24-3-$I109))/6*1/3, TRUE, 0)) *
IF(ISNUMBER(SEARCH("Ordinance",$L109)),7/6,1) *
IF(OR(ISNUMBER(SEARCH("Melee",$L109)),ISNUMBER(SEARCH("Bypass",$L109))),1.5,1)</f>
        <v>1.1111111111111109</v>
      </c>
      <c r="Z109" s="17" cm="1">
        <f t="array" ref="Z109">$H109 *
IF(ISNUMBER(SEARCH("Rapid",$L109)),7/6,1) *
IF(OR(ISNUMBER(SEARCH("Beam",$L109)),ISNUMBER(SEARCH("Firestorm",$L109))),1, IF(ISNUMBER(SEARCH("Blast",$L109)),(4+$F109+(2-$F109)*0.5)/6*2,(4+$F109)/6)) *
IF(ISNUMBER(SEARCH("Fusion",$L109)), _xlfn.IFS(Z$24-$I109 &lt;=1, 9/10, Z$24-$I109 &lt;=10,(11-(Z$24-$I109))/10, Z$24-$I109 &gt;=11, 0),
_xlfn.IFS(Z$24-$I109 &lt;=1, 5/6, Z$24-$I109 &lt;=5, (7-(Z$24-$I109))/6, AND(Z$24-$I109 =6,NOT(_xlfn.IFNA(ISNUMBER(SEARCH("Rending",$L109)),FALSE))), (7-(Z$24-$I109))/6, AND(Z$24-$I109 &gt;=7,NOT(_xlfn.IFNA(ISNUMBER(SEARCH("Rending",$L109)),FALSE))), 0, Z$24-$I109 =7, (7-(Z$24-1-$I109))/6, Z$24-$I109 =8, (7-(Z$24-2-$I109))/6*2/3, Z$24-$I109 =9, (7-(Z$24-3-$I109))/6*1/3, TRUE, 0)) *
IF(ISNUMBER(SEARCH("Ordinance",$L109)),7/6,1) *
IF(OR(ISNUMBER(SEARCH("Melee",$L109)),ISNUMBER(SEARCH("Bypass",$L109))),1.5,1)</f>
        <v>0</v>
      </c>
      <c r="AA109" s="17" cm="1">
        <f t="array" ref="AA109">$H109 *
IF(ISNUMBER(SEARCH("Rapid",$L109)),7/6,1) *
IF(OR(ISNUMBER(SEARCH("Beam",$L109)),ISNUMBER(SEARCH("Firestorm",$L109))),1, IF(ISNUMBER(SEARCH("Blast",$L109)),(4+$F109+(2-$F109)*0.5)/6*2,(4+$F109)/6)) *
IF(ISNUMBER(SEARCH("Fusion",$L109)), _xlfn.IFS(AA$24-$I109 &lt;=1, 9/10, AA$24-$I109 &lt;=10,(11-(AA$24-$I109))/10, AA$24-$I109 &gt;=11, 0),
_xlfn.IFS(AA$24-$I109 &lt;=1, 5/6, AA$24-$I109 &lt;=5, (7-(AA$24-$I109))/6, AND(AA$24-$I109 =6,NOT(_xlfn.IFNA(ISNUMBER(SEARCH("Rending",$L109)),FALSE))), (7-(AA$24-$I109))/6, AND(AA$24-$I109 &gt;=7,NOT(_xlfn.IFNA(ISNUMBER(SEARCH("Rending",$L109)),FALSE))), 0, AA$24-$I109 =7, (7-(AA$24-1-$I109))/6, AA$24-$I109 =8, (7-(AA$24-2-$I109))/6*2/3, AA$24-$I109 =9, (7-(AA$24-3-$I109))/6*1/3, TRUE, 0)) *
IF(ISNUMBER(SEARCH("Ordinance",$L109)),7/6,1) *
IF(OR(ISNUMBER(SEARCH("Melee",$L109)),ISNUMBER(SEARCH("Bypass",$L109))),1.5,1)</f>
        <v>0</v>
      </c>
      <c r="AB109" s="17" cm="1">
        <f t="array" ref="AB109">$H109 *
IF(ISNUMBER(SEARCH("Rapid",$L109)),7/6,1) *
IF(OR(ISNUMBER(SEARCH("Beam",$L109)),ISNUMBER(SEARCH("Firestorm",$L109))),1, IF(ISNUMBER(SEARCH("Blast",$L109)),(4+$F109+(2-$F109)*0.5)/6*2,(4+$F109)/6)) *
IF(ISNUMBER(SEARCH("Fusion",$L109)), _xlfn.IFS(AB$24-$I109 &lt;=1, 9/10, AB$24-$I109 &lt;=10,(11-(AB$24-$I109))/10, AB$24-$I109 &gt;=11, 0),
_xlfn.IFS(AB$24-$I109 &lt;=1, 5/6, AB$24-$I109 &lt;=5, (7-(AB$24-$I109))/6, AND(AB$24-$I109 =6,NOT(_xlfn.IFNA(ISNUMBER(SEARCH("Rending",$L109)),FALSE))), (7-(AB$24-$I109))/6, AND(AB$24-$I109 &gt;=7,NOT(_xlfn.IFNA(ISNUMBER(SEARCH("Rending",$L109)),FALSE))), 0, AB$24-$I109 =7, (7-(AB$24-1-$I109))/6, AB$24-$I109 =8, (7-(AB$24-2-$I109))/6*2/3, AB$24-$I109 =9, (7-(AB$24-3-$I109))/6*1/3, TRUE, 0)) *
IF(ISNUMBER(SEARCH("Ordinance",$L109)),7/6,1) *
IF(OR(ISNUMBER(SEARCH("Melee",$L109)),ISNUMBER(SEARCH("Bypass",$L109))),1.5,1)</f>
        <v>0</v>
      </c>
      <c r="AC109" s="17" cm="1">
        <f t="array" ref="AC109">$H109 *
IF(ISNUMBER(SEARCH("Rapid",$L109)),7/6,1) *
IF(OR(ISNUMBER(SEARCH("Beam",$L109)),ISNUMBER(SEARCH("Firestorm",$L109))),1, IF(ISNUMBER(SEARCH("Blast",$L109)),(4+$F109+(2-$F109)*0.5)/6*2,(4+$F109)/6)) *
IF(ISNUMBER(SEARCH("Fusion",$L109)), _xlfn.IFS(AC$24-$I109 &lt;=1, 9/10, AC$24-$I109 &lt;=10,(11-(AC$24-$I109))/10, AC$24-$I109 &gt;=11, 0),
_xlfn.IFS(AC$24-$I109 &lt;=1, 5/6, AC$24-$I109 &lt;=5, (7-(AC$24-$I109))/6, AND(AC$24-$I109 =6,NOT(_xlfn.IFNA(ISNUMBER(SEARCH("Rending",$L109)),FALSE))), (7-(AC$24-$I109))/6, AND(AC$24-$I109 &gt;=7,NOT(_xlfn.IFNA(ISNUMBER(SEARCH("Rending",$L109)),FALSE))), 0, AC$24-$I109 =7, (7-(AC$24-1-$I109))/6, AC$24-$I109 =8, (7-(AC$24-2-$I109))/6*2/3, AC$24-$I109 =9, (7-(AC$24-3-$I109))/6*1/3, TRUE, 0)) *
IF(ISNUMBER(SEARCH("Ordinance",$L109)),7/6,1) *
IF(OR(ISNUMBER(SEARCH("Melee",$L109)),ISNUMBER(SEARCH("Bypass",$L109))),1.5,1)</f>
        <v>0</v>
      </c>
      <c r="AD109" s="17" cm="1">
        <f t="array" ref="AD109">$H109 *
IF(ISNUMBER(SEARCH("Rapid",$L109)),7/6,1) *
IF(OR(ISNUMBER(SEARCH("Beam",$L109)),ISNUMBER(SEARCH("Firestorm",$L109))),1, IF(ISNUMBER(SEARCH("Blast",$L109)),(4+$F109+(2-$F109)*0.5)/6*2,(4+$F109)/6)) *
IF(ISNUMBER(SEARCH("Fusion",$L109)), _xlfn.IFS(AD$24-$I109 &lt;=1, 9/10, AD$24-$I109 &lt;=10,(11-(AD$24-$I109))/10, AD$24-$I109 &gt;=11, 0),
_xlfn.IFS(AD$24-$I109 &lt;=1, 5/6, AD$24-$I109 &lt;=5, (7-(AD$24-$I109))/6, AND(AD$24-$I109 =6,NOT(_xlfn.IFNA(ISNUMBER(SEARCH("Rending",$L109)),FALSE))), (7-(AD$24-$I109))/6, AND(AD$24-$I109 &gt;=7,NOT(_xlfn.IFNA(ISNUMBER(SEARCH("Rending",$L109)),FALSE))), 0, AD$24-$I109 =7, (7-(AD$24-1-$I109))/6, AD$24-$I109 =8, (7-(AD$24-2-$I109))/6*2/3, AD$24-$I109 =9, (7-(AD$24-3-$I109))/6*1/3, TRUE, 0)) *
IF(ISNUMBER(SEARCH("Ordinance",$L109)),7/6,1) *
IF(OR(ISNUMBER(SEARCH("Melee",$L109)),ISNUMBER(SEARCH("Bypass",$L109))),1.5,1)</f>
        <v>0</v>
      </c>
      <c r="AE109" s="17" cm="1">
        <f t="array" ref="AE109">$H109 *
IF(ISNUMBER(SEARCH("Rapid",$L109)),7/6,1) *
IF(OR(ISNUMBER(SEARCH("Beam",$L109)),ISNUMBER(SEARCH("Firestorm",$L109))),1, IF(ISNUMBER(SEARCH("Blast",$L109)),(4+$F109+(2-$F109)*0.5)/6*2,(4+$F109)/6)) *
IF(ISNUMBER(SEARCH("Fusion",$L109)), _xlfn.IFS(AE$24-$I109 &lt;=1, 9/10, AE$24-$I109 &lt;=10,(11-(AE$24-$I109))/10, AE$24-$I109 &gt;=11, 0),
_xlfn.IFS(AE$24-$I109 &lt;=1, 5/6, AE$24-$I109 &lt;=5, (7-(AE$24-$I109))/6, AND(AE$24-$I109 =6,NOT(_xlfn.IFNA(ISNUMBER(SEARCH("Rending",$L109)),FALSE))), (7-(AE$24-$I109))/6, AND(AE$24-$I109 &gt;=7,NOT(_xlfn.IFNA(ISNUMBER(SEARCH("Rending",$L109)),FALSE))), 0, AE$24-$I109 =7, (7-(AE$24-1-$I109))/6, AE$24-$I109 =8, (7-(AE$24-2-$I109))/6*2/3, AE$24-$I109 =9, (7-(AE$24-3-$I109))/6*1/3, TRUE, 0)) *
IF(ISNUMBER(SEARCH("Ordinance",$L109)),7/6,1) *
IF(OR(ISNUMBER(SEARCH("Melee",$L109)),ISNUMBER(SEARCH("Bypass",$L109))),1.5,1)</f>
        <v>0</v>
      </c>
      <c r="AF109" s="17" cm="1">
        <f t="array" ref="AF109">$H109 *
IF(ISNUMBER(SEARCH("Rapid",$L109)),7/6,1) *
IF(OR(ISNUMBER(SEARCH("Beam",$L109)),ISNUMBER(SEARCH("Firestorm",$L109))),1, IF(ISNUMBER(SEARCH("Blast",$L109)),(4+$F109+(2-$F109)*0.5)/6*2,(4+$F109)/6)) *
IF(ISNUMBER(SEARCH("Fusion",$L109)), _xlfn.IFS(AF$24-$I109 &lt;=1, 9/10, AF$24-$I109 &lt;=10,(11-(AF$24-$I109))/10, AF$24-$I109 &gt;=11, 0),
_xlfn.IFS(AF$24-$I109 &lt;=1, 5/6, AF$24-$I109 &lt;=5, (7-(AF$24-$I109))/6, AND(AF$24-$I109 =6,NOT(_xlfn.IFNA(ISNUMBER(SEARCH("Rending",$L109)),FALSE))), (7-(AF$24-$I109))/6, AND(AF$24-$I109 &gt;=7,NOT(_xlfn.IFNA(ISNUMBER(SEARCH("Rending",$L109)),FALSE))), 0, AF$24-$I109 =7, (7-(AF$24-1-$I109))/6, AF$24-$I109 =8, (7-(AF$24-2-$I109))/6*2/3, AF$24-$I109 =9, (7-(AF$24-3-$I109))/6*1/3, TRUE, 0)) *
IF(ISNUMBER(SEARCH("Ordinance",$L109)),7/6,1) *
IF(OR(ISNUMBER(SEARCH("Melee",$L109)),ISNUMBER(SEARCH("Bypass",$L109))),1.5,1)</f>
        <v>0</v>
      </c>
      <c r="AG109" s="16">
        <f t="shared" si="22"/>
        <v>2.7777777777777777</v>
      </c>
      <c r="AH109" s="16">
        <f t="shared" si="23"/>
        <v>4.166666666666667</v>
      </c>
      <c r="AI109" s="17" cm="1">
        <f t="array" ref="AI109">$H109 *
IF(ISNUMBER(SEARCH("Rapid",$L109)),7/6,1) *
IF(OR(ISNUMBER(SEARCH("Beam",$L109)),ISNUMBER(SEARCH("Firestorm",$L109))),1, IF(ISNUMBER(SEARCH("Blast",$L109)),(4+$G109+(2-$G109)*0.5)/6*2,(4+$G109)/6)) *
_xlfn.IFS(AI$24-$I109 &lt;=1, 5/6, AI$24-$I109 &lt;=5, (7-(AI$24-$I109))/6, AND(AI$24-$I109 =6,NOT(_xlfn.IFNA(ISNUMBER(SEARCH("Rending",$L109)),FALSE))), (7-(AI$24-$I109))/6, AND(AI$24-$I109 &gt;=7,NOT(_xlfn.IFNA(ISNUMBER(SEARCH("Rending",$L109)),FALSE))), 0, AI$24-$I109 =7, (7-(AI$24-1-$I109))/6, AI$24-$I109 =8, (7-(AI$24-2-$I109))/6*2/3, AI$24-$I109 =9, (7-(AI$24-3-$I109))/6*1/3, TRUE, 0) *
IF(ISNUMBER(SEARCH("Ordinance",$L109)),7/6,1) *
IF(OR(ISNUMBER(SEARCH("Melee",$L109)),ISNUMBER(SEARCH("Bypass",$L109))),1.5,1)</f>
        <v>2.7777777777777777</v>
      </c>
      <c r="AJ109" s="17" cm="1">
        <f t="array" ref="AJ109">$H109 *
IF(ISNUMBER(SEARCH("Rapid",$L109)),7/6,1) *
IF(OR(ISNUMBER(SEARCH("Beam",$L109)),ISNUMBER(SEARCH("Firestorm",$L109))),1, IF(ISNUMBER(SEARCH("Blast",$L109)),(4+$G109+(2-$G109)*0.5)/6*2,(4+$G109)/6)) *
_xlfn.IFS(AJ$24-$I109 &lt;=1, 5/6, AJ$24-$I109 &lt;=5, (7-(AJ$24-$I109))/6, AND(AJ$24-$I109 =6,NOT(_xlfn.IFNA(ISNUMBER(SEARCH("Rending",$L109)),FALSE))), (7-(AJ$24-$I109))/6, AND(AJ$24-$I109 &gt;=7,NOT(_xlfn.IFNA(ISNUMBER(SEARCH("Rending",$L109)),FALSE))), 0, AJ$24-$I109 =7, (7-(AJ$24-1-$I109))/6, AJ$24-$I109 =8, (7-(AJ$24-2-$I109))/6*2/3, AJ$24-$I109 =9, (7-(AJ$24-3-$I109))/6*1/3, TRUE, 0) *
IF(ISNUMBER(SEARCH("Ordinance",$L109)),7/6,1) *
IF(OR(ISNUMBER(SEARCH("Melee",$L109)),ISNUMBER(SEARCH("Bypass",$L109))),1.5,1)</f>
        <v>1.3888888888888888</v>
      </c>
      <c r="AK109" s="17" cm="1">
        <f t="array" ref="AK109">$H109 *
IF(ISNUMBER(SEARCH("Rapid",$L109)),7/6,1) *
IF(OR(ISNUMBER(SEARCH("Beam",$L109)),ISNUMBER(SEARCH("Firestorm",$L109))),1, IF(ISNUMBER(SEARCH("Blast",$L109)),(4+$G109+(2-$G109)*0.5)/6*2,(4+$G109)/6)) *
_xlfn.IFS(AK$24-$I109 &lt;=1, 5/6, AK$24-$I109 &lt;=5, (7-(AK$24-$I109))/6, AND(AK$24-$I109 =6,NOT(_xlfn.IFNA(ISNUMBER(SEARCH("Rending",$L109)),FALSE))), (7-(AK$24-$I109))/6, AND(AK$24-$I109 &gt;=7,NOT(_xlfn.IFNA(ISNUMBER(SEARCH("Rending",$L109)),FALSE))), 0, AK$24-$I109 =7, (7-(AK$24-1-$I109))/6, AK$24-$I109 =8, (7-(AK$24-2-$I109))/6*2/3, AK$24-$I109 =9, (7-(AK$24-3-$I109))/6*1/3, TRUE, 0) *
IF(ISNUMBER(SEARCH("Ordinance",$L109)),7/6,1) *
IF(OR(ISNUMBER(SEARCH("Melee",$L109)),ISNUMBER(SEARCH("Bypass",$L109))),1.5,1)</f>
        <v>0</v>
      </c>
      <c r="AL109" s="17" cm="1">
        <f t="array" ref="AL109">$H109 *
IF(ISNUMBER(SEARCH("Rapid",$L109)),7/6,1) *
IF(OR(ISNUMBER(SEARCH("Beam",$L109)),ISNUMBER(SEARCH("Firestorm",$L109))),1, IF(ISNUMBER(SEARCH("Blast",$L109)),(4+$G109+(2-$G109)*0.5)/6*2,(4+$G109)/6)) *
_xlfn.IFS(AL$24-$I109 &lt;=1, 5/6, AL$24-$I109 &lt;=5, (7-(AL$24-$I109))/6, AND(AL$24-$I109 =6,NOT(_xlfn.IFNA(ISNUMBER(SEARCH("Rending",$L109)),FALSE))), (7-(AL$24-$I109))/6, AND(AL$24-$I109 &gt;=7,NOT(_xlfn.IFNA(ISNUMBER(SEARCH("Rending",$L109)),FALSE))), 0, AL$24-$I109 =7, (7-(AL$24-1-$I109))/6, AL$24-$I109 =8, (7-(AL$24-2-$I109))/6*2/3, AL$24-$I109 =9, (7-(AL$24-3-$I109))/6*1/3, TRUE, 0) *
IF(ISNUMBER(SEARCH("Ordinance",$L109)),7/6,1) *
IF(OR(ISNUMBER(SEARCH("Melee",$L109)),ISNUMBER(SEARCH("Bypass",$L109))),1.5,1)</f>
        <v>0</v>
      </c>
      <c r="AM109" s="17" cm="1">
        <f t="array" ref="AM109">$H109 *
IF(ISNUMBER(SEARCH("Rapid",$L109)),7/6,1) *
IF(OR(ISNUMBER(SEARCH("Beam",$L109)),ISNUMBER(SEARCH("Firestorm",$L109))),1, IF(ISNUMBER(SEARCH("Blast",$L109)),(4+$G109+(2-$G109)*0.5)/6*2,(4+$G109)/6)) *
_xlfn.IFS(AM$24-$I109 &lt;=1, 5/6, AM$24-$I109 &lt;=5, (7-(AM$24-$I109))/6, AND(AM$24-$I109 =6,NOT(_xlfn.IFNA(ISNUMBER(SEARCH("Rending",$L109)),FALSE))), (7-(AM$24-$I109))/6, AND(AM$24-$I109 &gt;=7,NOT(_xlfn.IFNA(ISNUMBER(SEARCH("Rending",$L109)),FALSE))), 0, AM$24-$I109 =7, (7-(AM$24-1-$I109))/6, AM$24-$I109 =8, (7-(AM$24-2-$I109))/6*2/3, AM$24-$I109 =9, (7-(AM$24-3-$I109))/6*1/3, TRUE, 0) *
IF(ISNUMBER(SEARCH("Ordinance",$L109)),7/6,1) *
IF(OR(ISNUMBER(SEARCH("Melee",$L109)),ISNUMBER(SEARCH("Bypass",$L109))),1.5,1)</f>
        <v>0</v>
      </c>
      <c r="AN109" s="17" cm="1">
        <f t="array" ref="AN109">$H109 *
IF(ISNUMBER(SEARCH("Rapid",$L109)),7/6,1) *
IF(OR(ISNUMBER(SEARCH("Beam",$L109)),ISNUMBER(SEARCH("Firestorm",$L109))),1, IF(ISNUMBER(SEARCH("Blast",$L109)),(4+$G109+(2-$G109)*0.5)/6*2,(4+$G109)/6)) *
_xlfn.IFS(AN$24-$I109 &lt;=1, 5/6, AN$24-$I109 &lt;=5, (7-(AN$24-$I109))/6, AND(AN$24-$I109 =6,NOT(_xlfn.IFNA(ISNUMBER(SEARCH("Rending",$L109)),FALSE))), (7-(AN$24-$I109))/6, AND(AN$24-$I109 &gt;=7,NOT(_xlfn.IFNA(ISNUMBER(SEARCH("Rending",$L109)),FALSE))), 0, AN$24-$I109 =7, (7-(AN$24-1-$I109))/6, AN$24-$I109 =8, (7-(AN$24-2-$I109))/6*2/3, AN$24-$I109 =9, (7-(AN$24-3-$I109))/6*1/3, TRUE, 0) *
IF(ISNUMBER(SEARCH("Ordinance",$L109)),7/6,1) *
IF(OR(ISNUMBER(SEARCH("Melee",$L109)),ISNUMBER(SEARCH("Bypass",$L109))),1.5,1)</f>
        <v>0</v>
      </c>
      <c r="AO109" s="17" cm="1">
        <f t="array" ref="AO109">$H109 *
IF(ISNUMBER(SEARCH("Rapid",$L109)),7/6,1) *
IF(OR(ISNUMBER(SEARCH("Beam",$L109)),ISNUMBER(SEARCH("Firestorm",$L109))),1, IF(ISNUMBER(SEARCH("Blast",$L109)),(4+$G109+(2-$G109)*0.5)/6*2,(4+$G109)/6)) *
_xlfn.IFS(AO$24-$I109 &lt;=1, 5/6, AO$24-$I109 &lt;=5, (7-(AO$24-$I109))/6, AND(AO$24-$I109 =6,NOT(_xlfn.IFNA(ISNUMBER(SEARCH("Rending",$L109)),FALSE))), (7-(AO$24-$I109))/6, AND(AO$24-$I109 &gt;=7,NOT(_xlfn.IFNA(ISNUMBER(SEARCH("Rending",$L109)),FALSE))), 0, AO$24-$I109 =7, (7-(AO$24-1-$I109))/6, AO$24-$I109 =8, (7-(AO$24-2-$I109))/6*2/3, AO$24-$I109 =9, (7-(AO$24-3-$I109))/6*1/3, TRUE, 0) *
IF(ISNUMBER(SEARCH("Ordinance",$L109)),7/6,1) *
IF(OR(ISNUMBER(SEARCH("Melee",$L109)),ISNUMBER(SEARCH("Bypass",$L109))),1.5,1)</f>
        <v>0</v>
      </c>
      <c r="AP109" s="17" cm="1">
        <f t="array" ref="AP109">$H109 *
IF(ISNUMBER(SEARCH("Rapid",$L109)),7/6,1) *
IF(OR(ISNUMBER(SEARCH("Beam",$L109)),ISNUMBER(SEARCH("Firestorm",$L109))),1, IF(ISNUMBER(SEARCH("Blast",$L109)),(4+$G109+(2-$G109)*0.5)/6*2,(4+$G109)/6)) *
_xlfn.IFS(AP$24-$I109 &lt;=1, 5/6, AP$24-$I109 &lt;=5, (7-(AP$24-$I109))/6, AND(AP$24-$I109 =6,NOT(_xlfn.IFNA(ISNUMBER(SEARCH("Rending",$L109)),FALSE))), (7-(AP$24-$I109))/6, AND(AP$24-$I109 &gt;=7,NOT(_xlfn.IFNA(ISNUMBER(SEARCH("Rending",$L109)),FALSE))), 0, AP$24-$I109 =7, (7-(AP$24-1-$I109))/6, AP$24-$I109 =8, (7-(AP$24-2-$I109))/6*2/3, AP$24-$I109 =9, (7-(AP$24-3-$I109))/6*1/3, TRUE, 0) *
IF(ISNUMBER(SEARCH("Ordinance",$L109)),7/6,1) *
IF(OR(ISNUMBER(SEARCH("Melee",$L109)),ISNUMBER(SEARCH("Bypass",$L109))),1.5,1)</f>
        <v>0</v>
      </c>
      <c r="AQ109" s="17" cm="1">
        <f t="array" ref="AQ109">$H109 *
IF(ISNUMBER(SEARCH("Rapid",$L109)),7/6,1) *
IF(OR(ISNUMBER(SEARCH("Beam",$L109)),ISNUMBER(SEARCH("Firestorm",$L109))),1, IF(ISNUMBER(SEARCH("Blast",$L109)),(4+$G109+(2-$G109)*0.5)/6*2,(4+$G109)/6)) *
_xlfn.IFS(AQ$24-$I109 &lt;=1, 5/6, AQ$24-$I109 &lt;=5, (7-(AQ$24-$I109))/6, AND(AQ$24-$I109 =6,NOT(_xlfn.IFNA(ISNUMBER(SEARCH("Rending",$L109)),FALSE))), (7-(AQ$24-$I109))/6, AND(AQ$24-$I109 &gt;=7,NOT(_xlfn.IFNA(ISNUMBER(SEARCH("Rending",$L109)),FALSE))), 0, AQ$24-$I109 =7, (7-(AQ$24-1-$I109))/6, AQ$24-$I109 =8, (7-(AQ$24-2-$I109))/6*2/3, AQ$24-$I109 =9, (7-(AQ$24-3-$I109))/6*1/3, TRUE, 0) *
IF(ISNUMBER(SEARCH("Ordinance",$L109)),7/6,1) *
IF(OR(ISNUMBER(SEARCH("Melee",$L109)),ISNUMBER(SEARCH("Bypass",$L109))),1.5,1)</f>
        <v>0</v>
      </c>
      <c r="AS109" s="16">
        <f t="shared" si="26"/>
        <v>1.8518518518518519</v>
      </c>
      <c r="AT109" s="16">
        <f t="shared" si="27"/>
        <v>2.7777777777777781</v>
      </c>
      <c r="AU109" s="16">
        <f t="shared" si="28"/>
        <v>2.1851851851851851</v>
      </c>
      <c r="AV109" s="2">
        <v>9</v>
      </c>
    </row>
    <row r="110" spans="1:48" x14ac:dyDescent="0.3">
      <c r="A110" t="s">
        <v>263</v>
      </c>
      <c r="B110" s="3">
        <v>30</v>
      </c>
      <c r="C110" s="3">
        <v>120</v>
      </c>
      <c r="D110" s="3">
        <v>1</v>
      </c>
      <c r="E110" s="3">
        <v>2</v>
      </c>
      <c r="F110" s="10"/>
      <c r="G110" s="10">
        <v>1</v>
      </c>
      <c r="H110" s="3">
        <v>10</v>
      </c>
      <c r="I110" s="3">
        <v>4</v>
      </c>
      <c r="J110" s="3" t="s">
        <v>215</v>
      </c>
      <c r="K110" s="3">
        <v>40</v>
      </c>
      <c r="L110" s="3" t="s">
        <v>273</v>
      </c>
      <c r="M110" s="3" t="s">
        <v>236</v>
      </c>
      <c r="N110" s="3">
        <v>11</v>
      </c>
      <c r="O110" s="3">
        <v>11</v>
      </c>
      <c r="P110" s="3">
        <v>15</v>
      </c>
      <c r="Q110" s="3" t="s">
        <v>200</v>
      </c>
      <c r="R110" s="3">
        <v>7</v>
      </c>
      <c r="S110" s="3">
        <v>9</v>
      </c>
      <c r="T110" s="3">
        <v>4</v>
      </c>
      <c r="U110" t="s">
        <v>264</v>
      </c>
      <c r="V110" s="16">
        <f t="shared" si="20"/>
        <v>2.8522222222222222</v>
      </c>
      <c r="W110" s="16">
        <f t="shared" si="21"/>
        <v>4.2783333333333333</v>
      </c>
      <c r="X110" s="17" cm="1">
        <f t="array" ref="X110">$H110 *
IF(ISNUMBER(SEARCH("Rapid",$L110)),7/6,1) *
IF(OR(ISNUMBER(SEARCH("Beam",$L110)),ISNUMBER(SEARCH("Firestorm",$L110))),1, IF(ISNUMBER(SEARCH("Blast",$L110)),(4+$F110+(2-$F110)*0.5)/6*2,(4+$F110)/6)) *
IF(ISNUMBER(SEARCH("Fusion",$L110)), _xlfn.IFS(X$24-$I110 &lt;=1, 9/10, X$24-$I110 &lt;=10,(11-(X$24-$I110))/10, X$24-$I110 &gt;=11, 0),
_xlfn.IFS(X$24-$I110 &lt;=1, 5/6, X$24-$I110 &lt;=5, (7-(X$24-$I110))/6, AND(X$24-$I110 =6,NOT(_xlfn.IFNA(ISNUMBER(SEARCH("Rending",$L110)),FALSE))), (7-(X$24-$I110))/6, AND(X$24-$I110 &gt;=7,NOT(_xlfn.IFNA(ISNUMBER(SEARCH("Rending",$L110)),FALSE))), 0, X$24-$I110 =7, (7-(X$24-1-$I110))/6, X$24-$I110 =8, (7-(X$24-2-$I110))/6*2/3, X$24-$I110 =9, (7-(X$24-3-$I110))/6*1/3, TRUE, 0)) *
IF(ISNUMBER(SEARCH("Ordinance",$L110)),7/6,1) *
IF(OR(ISNUMBER(SEARCH("Melee",$L110)),ISNUMBER(SEARCH("Bypass",$L110))),1.5,1)</f>
        <v>2.2222222222222219</v>
      </c>
      <c r="Y110" s="17" cm="1">
        <f t="array" ref="Y110">$H110 *
IF(ISNUMBER(SEARCH("Rapid",$L110)),7/6,1) *
IF(OR(ISNUMBER(SEARCH("Beam",$L110)),ISNUMBER(SEARCH("Firestorm",$L110))),1, IF(ISNUMBER(SEARCH("Blast",$L110)),(4+$F110+(2-$F110)*0.5)/6*2,(4+$F110)/6)) *
IF(ISNUMBER(SEARCH("Fusion",$L110)), _xlfn.IFS(Y$24-$I110 &lt;=1, 9/10, Y$24-$I110 &lt;=10,(11-(Y$24-$I110))/10, Y$24-$I110 &gt;=11, 0),
_xlfn.IFS(Y$24-$I110 &lt;=1, 5/6, Y$24-$I110 &lt;=5, (7-(Y$24-$I110))/6, AND(Y$24-$I110 =6,NOT(_xlfn.IFNA(ISNUMBER(SEARCH("Rending",$L110)),FALSE))), (7-(Y$24-$I110))/6, AND(Y$24-$I110 &gt;=7,NOT(_xlfn.IFNA(ISNUMBER(SEARCH("Rending",$L110)),FALSE))), 0, Y$24-$I110 =7, (7-(Y$24-1-$I110))/6, Y$24-$I110 =8, (7-(Y$24-2-$I110))/6*2/3, Y$24-$I110 =9, (7-(Y$24-3-$I110))/6*1/3, TRUE, 0)) *
IF(ISNUMBER(SEARCH("Ordinance",$L110)),7/6,1) *
IF(OR(ISNUMBER(SEARCH("Melee",$L110)),ISNUMBER(SEARCH("Bypass",$L110))),1.5,1)</f>
        <v>1.1111111111111109</v>
      </c>
      <c r="Z110" s="17" cm="1">
        <f t="array" ref="Z110">$H110 *
IF(ISNUMBER(SEARCH("Rapid",$L110)),7/6,1) *
IF(OR(ISNUMBER(SEARCH("Beam",$L110)),ISNUMBER(SEARCH("Firestorm",$L110))),1, IF(ISNUMBER(SEARCH("Blast",$L110)),(4+$F110+(2-$F110)*0.5)/6*2,(4+$F110)/6)) *
IF(ISNUMBER(SEARCH("Fusion",$L110)), _xlfn.IFS(Z$24-$I110 &lt;=1, 9/10, Z$24-$I110 &lt;=10,(11-(Z$24-$I110))/10, Z$24-$I110 &gt;=11, 0),
_xlfn.IFS(Z$24-$I110 &lt;=1, 5/6, Z$24-$I110 &lt;=5, (7-(Z$24-$I110))/6, AND(Z$24-$I110 =6,NOT(_xlfn.IFNA(ISNUMBER(SEARCH("Rending",$L110)),FALSE))), (7-(Z$24-$I110))/6, AND(Z$24-$I110 &gt;=7,NOT(_xlfn.IFNA(ISNUMBER(SEARCH("Rending",$L110)),FALSE))), 0, Z$24-$I110 =7, (7-(Z$24-1-$I110))/6, Z$24-$I110 =8, (7-(Z$24-2-$I110))/6*2/3, Z$24-$I110 =9, (7-(Z$24-3-$I110))/6*1/3, TRUE, 0)) *
IF(ISNUMBER(SEARCH("Ordinance",$L110)),7/6,1) *
IF(OR(ISNUMBER(SEARCH("Melee",$L110)),ISNUMBER(SEARCH("Bypass",$L110))),1.5,1)</f>
        <v>0</v>
      </c>
      <c r="AA110" s="17" cm="1">
        <f t="array" ref="AA110">$H110 *
IF(ISNUMBER(SEARCH("Rapid",$L110)),7/6,1) *
IF(OR(ISNUMBER(SEARCH("Beam",$L110)),ISNUMBER(SEARCH("Firestorm",$L110))),1, IF(ISNUMBER(SEARCH("Blast",$L110)),(4+$F110+(2-$F110)*0.5)/6*2,(4+$F110)/6)) *
IF(ISNUMBER(SEARCH("Fusion",$L110)), _xlfn.IFS(AA$24-$I110 &lt;=1, 9/10, AA$24-$I110 &lt;=10,(11-(AA$24-$I110))/10, AA$24-$I110 &gt;=11, 0),
_xlfn.IFS(AA$24-$I110 &lt;=1, 5/6, AA$24-$I110 &lt;=5, (7-(AA$24-$I110))/6, AND(AA$24-$I110 =6,NOT(_xlfn.IFNA(ISNUMBER(SEARCH("Rending",$L110)),FALSE))), (7-(AA$24-$I110))/6, AND(AA$24-$I110 &gt;=7,NOT(_xlfn.IFNA(ISNUMBER(SEARCH("Rending",$L110)),FALSE))), 0, AA$24-$I110 =7, (7-(AA$24-1-$I110))/6, AA$24-$I110 =8, (7-(AA$24-2-$I110))/6*2/3, AA$24-$I110 =9, (7-(AA$24-3-$I110))/6*1/3, TRUE, 0)) *
IF(ISNUMBER(SEARCH("Ordinance",$L110)),7/6,1) *
IF(OR(ISNUMBER(SEARCH("Melee",$L110)),ISNUMBER(SEARCH("Bypass",$L110))),1.5,1)</f>
        <v>0</v>
      </c>
      <c r="AB110" s="17" cm="1">
        <f t="array" ref="AB110">$H110 *
IF(ISNUMBER(SEARCH("Rapid",$L110)),7/6,1) *
IF(OR(ISNUMBER(SEARCH("Beam",$L110)),ISNUMBER(SEARCH("Firestorm",$L110))),1, IF(ISNUMBER(SEARCH("Blast",$L110)),(4+$F110+(2-$F110)*0.5)/6*2,(4+$F110)/6)) *
IF(ISNUMBER(SEARCH("Fusion",$L110)), _xlfn.IFS(AB$24-$I110 &lt;=1, 9/10, AB$24-$I110 &lt;=10,(11-(AB$24-$I110))/10, AB$24-$I110 &gt;=11, 0),
_xlfn.IFS(AB$24-$I110 &lt;=1, 5/6, AB$24-$I110 &lt;=5, (7-(AB$24-$I110))/6, AND(AB$24-$I110 =6,NOT(_xlfn.IFNA(ISNUMBER(SEARCH("Rending",$L110)),FALSE))), (7-(AB$24-$I110))/6, AND(AB$24-$I110 &gt;=7,NOT(_xlfn.IFNA(ISNUMBER(SEARCH("Rending",$L110)),FALSE))), 0, AB$24-$I110 =7, (7-(AB$24-1-$I110))/6, AB$24-$I110 =8, (7-(AB$24-2-$I110))/6*2/3, AB$24-$I110 =9, (7-(AB$24-3-$I110))/6*1/3, TRUE, 0)) *
IF(ISNUMBER(SEARCH("Ordinance",$L110)),7/6,1) *
IF(OR(ISNUMBER(SEARCH("Melee",$L110)),ISNUMBER(SEARCH("Bypass",$L110))),1.5,1)</f>
        <v>0</v>
      </c>
      <c r="AC110" s="17" cm="1">
        <f t="array" ref="AC110">$H110 *
IF(ISNUMBER(SEARCH("Rapid",$L110)),7/6,1) *
IF(OR(ISNUMBER(SEARCH("Beam",$L110)),ISNUMBER(SEARCH("Firestorm",$L110))),1, IF(ISNUMBER(SEARCH("Blast",$L110)),(4+$F110+(2-$F110)*0.5)/6*2,(4+$F110)/6)) *
IF(ISNUMBER(SEARCH("Fusion",$L110)), _xlfn.IFS(AC$24-$I110 &lt;=1, 9/10, AC$24-$I110 &lt;=10,(11-(AC$24-$I110))/10, AC$24-$I110 &gt;=11, 0),
_xlfn.IFS(AC$24-$I110 &lt;=1, 5/6, AC$24-$I110 &lt;=5, (7-(AC$24-$I110))/6, AND(AC$24-$I110 =6,NOT(_xlfn.IFNA(ISNUMBER(SEARCH("Rending",$L110)),FALSE))), (7-(AC$24-$I110))/6, AND(AC$24-$I110 &gt;=7,NOT(_xlfn.IFNA(ISNUMBER(SEARCH("Rending",$L110)),FALSE))), 0, AC$24-$I110 =7, (7-(AC$24-1-$I110))/6, AC$24-$I110 =8, (7-(AC$24-2-$I110))/6*2/3, AC$24-$I110 =9, (7-(AC$24-3-$I110))/6*1/3, TRUE, 0)) *
IF(ISNUMBER(SEARCH("Ordinance",$L110)),7/6,1) *
IF(OR(ISNUMBER(SEARCH("Melee",$L110)),ISNUMBER(SEARCH("Bypass",$L110))),1.5,1)</f>
        <v>0</v>
      </c>
      <c r="AD110" s="17" cm="1">
        <f t="array" ref="AD110">$H110 *
IF(ISNUMBER(SEARCH("Rapid",$L110)),7/6,1) *
IF(OR(ISNUMBER(SEARCH("Beam",$L110)),ISNUMBER(SEARCH("Firestorm",$L110))),1, IF(ISNUMBER(SEARCH("Blast",$L110)),(4+$F110+(2-$F110)*0.5)/6*2,(4+$F110)/6)) *
IF(ISNUMBER(SEARCH("Fusion",$L110)), _xlfn.IFS(AD$24-$I110 &lt;=1, 9/10, AD$24-$I110 &lt;=10,(11-(AD$24-$I110))/10, AD$24-$I110 &gt;=11, 0),
_xlfn.IFS(AD$24-$I110 &lt;=1, 5/6, AD$24-$I110 &lt;=5, (7-(AD$24-$I110))/6, AND(AD$24-$I110 =6,NOT(_xlfn.IFNA(ISNUMBER(SEARCH("Rending",$L110)),FALSE))), (7-(AD$24-$I110))/6, AND(AD$24-$I110 &gt;=7,NOT(_xlfn.IFNA(ISNUMBER(SEARCH("Rending",$L110)),FALSE))), 0, AD$24-$I110 =7, (7-(AD$24-1-$I110))/6, AD$24-$I110 =8, (7-(AD$24-2-$I110))/6*2/3, AD$24-$I110 =9, (7-(AD$24-3-$I110))/6*1/3, TRUE, 0)) *
IF(ISNUMBER(SEARCH("Ordinance",$L110)),7/6,1) *
IF(OR(ISNUMBER(SEARCH("Melee",$L110)),ISNUMBER(SEARCH("Bypass",$L110))),1.5,1)</f>
        <v>0</v>
      </c>
      <c r="AE110" s="17" cm="1">
        <f t="array" ref="AE110">$H110 *
IF(ISNUMBER(SEARCH("Rapid",$L110)),7/6,1) *
IF(OR(ISNUMBER(SEARCH("Beam",$L110)),ISNUMBER(SEARCH("Firestorm",$L110))),1, IF(ISNUMBER(SEARCH("Blast",$L110)),(4+$F110+(2-$F110)*0.5)/6*2,(4+$F110)/6)) *
IF(ISNUMBER(SEARCH("Fusion",$L110)), _xlfn.IFS(AE$24-$I110 &lt;=1, 9/10, AE$24-$I110 &lt;=10,(11-(AE$24-$I110))/10, AE$24-$I110 &gt;=11, 0),
_xlfn.IFS(AE$24-$I110 &lt;=1, 5/6, AE$24-$I110 &lt;=5, (7-(AE$24-$I110))/6, AND(AE$24-$I110 =6,NOT(_xlfn.IFNA(ISNUMBER(SEARCH("Rending",$L110)),FALSE))), (7-(AE$24-$I110))/6, AND(AE$24-$I110 &gt;=7,NOT(_xlfn.IFNA(ISNUMBER(SEARCH("Rending",$L110)),FALSE))), 0, AE$24-$I110 =7, (7-(AE$24-1-$I110))/6, AE$24-$I110 =8, (7-(AE$24-2-$I110))/6*2/3, AE$24-$I110 =9, (7-(AE$24-3-$I110))/6*1/3, TRUE, 0)) *
IF(ISNUMBER(SEARCH("Ordinance",$L110)),7/6,1) *
IF(OR(ISNUMBER(SEARCH("Melee",$L110)),ISNUMBER(SEARCH("Bypass",$L110))),1.5,1)</f>
        <v>0</v>
      </c>
      <c r="AF110" s="17" cm="1">
        <f t="array" ref="AF110">$H110 *
IF(ISNUMBER(SEARCH("Rapid",$L110)),7/6,1) *
IF(OR(ISNUMBER(SEARCH("Beam",$L110)),ISNUMBER(SEARCH("Firestorm",$L110))),1, IF(ISNUMBER(SEARCH("Blast",$L110)),(4+$F110+(2-$F110)*0.5)/6*2,(4+$F110)/6)) *
IF(ISNUMBER(SEARCH("Fusion",$L110)), _xlfn.IFS(AF$24-$I110 &lt;=1, 9/10, AF$24-$I110 &lt;=10,(11-(AF$24-$I110))/10, AF$24-$I110 &gt;=11, 0),
_xlfn.IFS(AF$24-$I110 &lt;=1, 5/6, AF$24-$I110 &lt;=5, (7-(AF$24-$I110))/6, AND(AF$24-$I110 =6,NOT(_xlfn.IFNA(ISNUMBER(SEARCH("Rending",$L110)),FALSE))), (7-(AF$24-$I110))/6, AND(AF$24-$I110 &gt;=7,NOT(_xlfn.IFNA(ISNUMBER(SEARCH("Rending",$L110)),FALSE))), 0, AF$24-$I110 =7, (7-(AF$24-1-$I110))/6, AF$24-$I110 =8, (7-(AF$24-2-$I110))/6*2/3, AF$24-$I110 =9, (7-(AF$24-3-$I110))/6*1/3, TRUE, 0)) *
IF(ISNUMBER(SEARCH("Ordinance",$L110)),7/6,1) *
IF(OR(ISNUMBER(SEARCH("Melee",$L110)),ISNUMBER(SEARCH("Bypass",$L110))),1.5,1)</f>
        <v>0</v>
      </c>
      <c r="AG110" s="16">
        <f t="shared" si="22"/>
        <v>3.407777777777778</v>
      </c>
      <c r="AH110" s="16">
        <f t="shared" si="23"/>
        <v>5.1116666666666672</v>
      </c>
      <c r="AI110" s="17" cm="1">
        <f t="array" ref="AI110">$H110 *
IF(ISNUMBER(SEARCH("Rapid",$L110)),7/6,1) *
IF(OR(ISNUMBER(SEARCH("Beam",$L110)),ISNUMBER(SEARCH("Firestorm",$L110))),1, IF(ISNUMBER(SEARCH("Blast",$L110)),(4+$G110+(2-$G110)*0.5)/6*2,(4+$G110)/6)) *
_xlfn.IFS(AI$24-$I110 &lt;=1, 5/6, AI$24-$I110 &lt;=5, (7-(AI$24-$I110))/6, AND(AI$24-$I110 =6,NOT(_xlfn.IFNA(ISNUMBER(SEARCH("Rending",$L110)),FALSE))), (7-(AI$24-$I110))/6, AND(AI$24-$I110 &gt;=7,NOT(_xlfn.IFNA(ISNUMBER(SEARCH("Rending",$L110)),FALSE))), 0, AI$24-$I110 =7, (7-(AI$24-1-$I110))/6, AI$24-$I110 =8, (7-(AI$24-2-$I110))/6*2/3, AI$24-$I110 =9, (7-(AI$24-3-$I110))/6*1/3, TRUE, 0) *
IF(ISNUMBER(SEARCH("Ordinance",$L110)),7/6,1) *
IF(OR(ISNUMBER(SEARCH("Melee",$L110)),ISNUMBER(SEARCH("Bypass",$L110))),1.5,1)</f>
        <v>2.7777777777777777</v>
      </c>
      <c r="AJ110" s="17" cm="1">
        <f t="array" ref="AJ110">$H110 *
IF(ISNUMBER(SEARCH("Rapid",$L110)),7/6,1) *
IF(OR(ISNUMBER(SEARCH("Beam",$L110)),ISNUMBER(SEARCH("Firestorm",$L110))),1, IF(ISNUMBER(SEARCH("Blast",$L110)),(4+$G110+(2-$G110)*0.5)/6*2,(4+$G110)/6)) *
_xlfn.IFS(AJ$24-$I110 &lt;=1, 5/6, AJ$24-$I110 &lt;=5, (7-(AJ$24-$I110))/6, AND(AJ$24-$I110 =6,NOT(_xlfn.IFNA(ISNUMBER(SEARCH("Rending",$L110)),FALSE))), (7-(AJ$24-$I110))/6, AND(AJ$24-$I110 &gt;=7,NOT(_xlfn.IFNA(ISNUMBER(SEARCH("Rending",$L110)),FALSE))), 0, AJ$24-$I110 =7, (7-(AJ$24-1-$I110))/6, AJ$24-$I110 =8, (7-(AJ$24-2-$I110))/6*2/3, AJ$24-$I110 =9, (7-(AJ$24-3-$I110))/6*1/3, TRUE, 0) *
IF(ISNUMBER(SEARCH("Ordinance",$L110)),7/6,1) *
IF(OR(ISNUMBER(SEARCH("Melee",$L110)),ISNUMBER(SEARCH("Bypass",$L110))),1.5,1)</f>
        <v>1.3888888888888888</v>
      </c>
      <c r="AK110" s="17" cm="1">
        <f t="array" ref="AK110">$H110 *
IF(ISNUMBER(SEARCH("Rapid",$L110)),7/6,1) *
IF(OR(ISNUMBER(SEARCH("Beam",$L110)),ISNUMBER(SEARCH("Firestorm",$L110))),1, IF(ISNUMBER(SEARCH("Blast",$L110)),(4+$G110+(2-$G110)*0.5)/6*2,(4+$G110)/6)) *
_xlfn.IFS(AK$24-$I110 &lt;=1, 5/6, AK$24-$I110 &lt;=5, (7-(AK$24-$I110))/6, AND(AK$24-$I110 =6,NOT(_xlfn.IFNA(ISNUMBER(SEARCH("Rending",$L110)),FALSE))), (7-(AK$24-$I110))/6, AND(AK$24-$I110 &gt;=7,NOT(_xlfn.IFNA(ISNUMBER(SEARCH("Rending",$L110)),FALSE))), 0, AK$24-$I110 =7, (7-(AK$24-1-$I110))/6, AK$24-$I110 =8, (7-(AK$24-2-$I110))/6*2/3, AK$24-$I110 =9, (7-(AK$24-3-$I110))/6*1/3, TRUE, 0) *
IF(ISNUMBER(SEARCH("Ordinance",$L110)),7/6,1) *
IF(OR(ISNUMBER(SEARCH("Melee",$L110)),ISNUMBER(SEARCH("Bypass",$L110))),1.5,1)</f>
        <v>0</v>
      </c>
      <c r="AL110" s="17" cm="1">
        <f t="array" ref="AL110">$H110 *
IF(ISNUMBER(SEARCH("Rapid",$L110)),7/6,1) *
IF(OR(ISNUMBER(SEARCH("Beam",$L110)),ISNUMBER(SEARCH("Firestorm",$L110))),1, IF(ISNUMBER(SEARCH("Blast",$L110)),(4+$G110+(2-$G110)*0.5)/6*2,(4+$G110)/6)) *
_xlfn.IFS(AL$24-$I110 &lt;=1, 5/6, AL$24-$I110 &lt;=5, (7-(AL$24-$I110))/6, AND(AL$24-$I110 =6,NOT(_xlfn.IFNA(ISNUMBER(SEARCH("Rending",$L110)),FALSE))), (7-(AL$24-$I110))/6, AND(AL$24-$I110 &gt;=7,NOT(_xlfn.IFNA(ISNUMBER(SEARCH("Rending",$L110)),FALSE))), 0, AL$24-$I110 =7, (7-(AL$24-1-$I110))/6, AL$24-$I110 =8, (7-(AL$24-2-$I110))/6*2/3, AL$24-$I110 =9, (7-(AL$24-3-$I110))/6*1/3, TRUE, 0) *
IF(ISNUMBER(SEARCH("Ordinance",$L110)),7/6,1) *
IF(OR(ISNUMBER(SEARCH("Melee",$L110)),ISNUMBER(SEARCH("Bypass",$L110))),1.5,1)</f>
        <v>0</v>
      </c>
      <c r="AM110" s="17" cm="1">
        <f t="array" ref="AM110">$H110 *
IF(ISNUMBER(SEARCH("Rapid",$L110)),7/6,1) *
IF(OR(ISNUMBER(SEARCH("Beam",$L110)),ISNUMBER(SEARCH("Firestorm",$L110))),1, IF(ISNUMBER(SEARCH("Blast",$L110)),(4+$G110+(2-$G110)*0.5)/6*2,(4+$G110)/6)) *
_xlfn.IFS(AM$24-$I110 &lt;=1, 5/6, AM$24-$I110 &lt;=5, (7-(AM$24-$I110))/6, AND(AM$24-$I110 =6,NOT(_xlfn.IFNA(ISNUMBER(SEARCH("Rending",$L110)),FALSE))), (7-(AM$24-$I110))/6, AND(AM$24-$I110 &gt;=7,NOT(_xlfn.IFNA(ISNUMBER(SEARCH("Rending",$L110)),FALSE))), 0, AM$24-$I110 =7, (7-(AM$24-1-$I110))/6, AM$24-$I110 =8, (7-(AM$24-2-$I110))/6*2/3, AM$24-$I110 =9, (7-(AM$24-3-$I110))/6*1/3, TRUE, 0) *
IF(ISNUMBER(SEARCH("Ordinance",$L110)),7/6,1) *
IF(OR(ISNUMBER(SEARCH("Melee",$L110)),ISNUMBER(SEARCH("Bypass",$L110))),1.5,1)</f>
        <v>0</v>
      </c>
      <c r="AN110" s="17" cm="1">
        <f t="array" ref="AN110">$H110 *
IF(ISNUMBER(SEARCH("Rapid",$L110)),7/6,1) *
IF(OR(ISNUMBER(SEARCH("Beam",$L110)),ISNUMBER(SEARCH("Firestorm",$L110))),1, IF(ISNUMBER(SEARCH("Blast",$L110)),(4+$G110+(2-$G110)*0.5)/6*2,(4+$G110)/6)) *
_xlfn.IFS(AN$24-$I110 &lt;=1, 5/6, AN$24-$I110 &lt;=5, (7-(AN$24-$I110))/6, AND(AN$24-$I110 =6,NOT(_xlfn.IFNA(ISNUMBER(SEARCH("Rending",$L110)),FALSE))), (7-(AN$24-$I110))/6, AND(AN$24-$I110 &gt;=7,NOT(_xlfn.IFNA(ISNUMBER(SEARCH("Rending",$L110)),FALSE))), 0, AN$24-$I110 =7, (7-(AN$24-1-$I110))/6, AN$24-$I110 =8, (7-(AN$24-2-$I110))/6*2/3, AN$24-$I110 =9, (7-(AN$24-3-$I110))/6*1/3, TRUE, 0) *
IF(ISNUMBER(SEARCH("Ordinance",$L110)),7/6,1) *
IF(OR(ISNUMBER(SEARCH("Melee",$L110)),ISNUMBER(SEARCH("Bypass",$L110))),1.5,1)</f>
        <v>0</v>
      </c>
      <c r="AO110" s="17" cm="1">
        <f t="array" ref="AO110">$H110 *
IF(ISNUMBER(SEARCH("Rapid",$L110)),7/6,1) *
IF(OR(ISNUMBER(SEARCH("Beam",$L110)),ISNUMBER(SEARCH("Firestorm",$L110))),1, IF(ISNUMBER(SEARCH("Blast",$L110)),(4+$G110+(2-$G110)*0.5)/6*2,(4+$G110)/6)) *
_xlfn.IFS(AO$24-$I110 &lt;=1, 5/6, AO$24-$I110 &lt;=5, (7-(AO$24-$I110))/6, AND(AO$24-$I110 =6,NOT(_xlfn.IFNA(ISNUMBER(SEARCH("Rending",$L110)),FALSE))), (7-(AO$24-$I110))/6, AND(AO$24-$I110 &gt;=7,NOT(_xlfn.IFNA(ISNUMBER(SEARCH("Rending",$L110)),FALSE))), 0, AO$24-$I110 =7, (7-(AO$24-1-$I110))/6, AO$24-$I110 =8, (7-(AO$24-2-$I110))/6*2/3, AO$24-$I110 =9, (7-(AO$24-3-$I110))/6*1/3, TRUE, 0) *
IF(ISNUMBER(SEARCH("Ordinance",$L110)),7/6,1) *
IF(OR(ISNUMBER(SEARCH("Melee",$L110)),ISNUMBER(SEARCH("Bypass",$L110))),1.5,1)</f>
        <v>0</v>
      </c>
      <c r="AP110" s="17" cm="1">
        <f t="array" ref="AP110">$H110 *
IF(ISNUMBER(SEARCH("Rapid",$L110)),7/6,1) *
IF(OR(ISNUMBER(SEARCH("Beam",$L110)),ISNUMBER(SEARCH("Firestorm",$L110))),1, IF(ISNUMBER(SEARCH("Blast",$L110)),(4+$G110+(2-$G110)*0.5)/6*2,(4+$G110)/6)) *
_xlfn.IFS(AP$24-$I110 &lt;=1, 5/6, AP$24-$I110 &lt;=5, (7-(AP$24-$I110))/6, AND(AP$24-$I110 =6,NOT(_xlfn.IFNA(ISNUMBER(SEARCH("Rending",$L110)),FALSE))), (7-(AP$24-$I110))/6, AND(AP$24-$I110 &gt;=7,NOT(_xlfn.IFNA(ISNUMBER(SEARCH("Rending",$L110)),FALSE))), 0, AP$24-$I110 =7, (7-(AP$24-1-$I110))/6, AP$24-$I110 =8, (7-(AP$24-2-$I110))/6*2/3, AP$24-$I110 =9, (7-(AP$24-3-$I110))/6*1/3, TRUE, 0) *
IF(ISNUMBER(SEARCH("Ordinance",$L110)),7/6,1) *
IF(OR(ISNUMBER(SEARCH("Melee",$L110)),ISNUMBER(SEARCH("Bypass",$L110))),1.5,1)</f>
        <v>0</v>
      </c>
      <c r="AQ110" s="17" cm="1">
        <f t="array" ref="AQ110">$H110 *
IF(ISNUMBER(SEARCH("Rapid",$L110)),7/6,1) *
IF(OR(ISNUMBER(SEARCH("Beam",$L110)),ISNUMBER(SEARCH("Firestorm",$L110))),1, IF(ISNUMBER(SEARCH("Blast",$L110)),(4+$G110+(2-$G110)*0.5)/6*2,(4+$G110)/6)) *
_xlfn.IFS(AQ$24-$I110 &lt;=1, 5/6, AQ$24-$I110 &lt;=5, (7-(AQ$24-$I110))/6, AND(AQ$24-$I110 =6,NOT(_xlfn.IFNA(ISNUMBER(SEARCH("Rending",$L110)),FALSE))), (7-(AQ$24-$I110))/6, AND(AQ$24-$I110 &gt;=7,NOT(_xlfn.IFNA(ISNUMBER(SEARCH("Rending",$L110)),FALSE))), 0, AQ$24-$I110 =7, (7-(AQ$24-1-$I110))/6, AQ$24-$I110 =8, (7-(AQ$24-2-$I110))/6*2/3, AQ$24-$I110 =9, (7-(AQ$24-3-$I110))/6*1/3, TRUE, 0) *
IF(ISNUMBER(SEARCH("Ordinance",$L110)),7/6,1) *
IF(OR(ISNUMBER(SEARCH("Melee",$L110)),ISNUMBER(SEARCH("Bypass",$L110))),1.5,1)</f>
        <v>0</v>
      </c>
      <c r="AS110" s="16">
        <f t="shared" si="26"/>
        <v>2.271851851851852</v>
      </c>
      <c r="AT110" s="16">
        <f t="shared" si="27"/>
        <v>3.407777777777778</v>
      </c>
      <c r="AU110" s="16">
        <f t="shared" si="28"/>
        <v>2.1851851851851851</v>
      </c>
      <c r="AV110" s="2">
        <v>9</v>
      </c>
    </row>
    <row r="111" spans="1:48" x14ac:dyDescent="0.3">
      <c r="A111" t="s">
        <v>270</v>
      </c>
      <c r="B111" s="3">
        <v>30</v>
      </c>
      <c r="C111" s="3">
        <v>120</v>
      </c>
      <c r="D111" s="3">
        <v>1</v>
      </c>
      <c r="E111" s="3">
        <v>2</v>
      </c>
      <c r="F111" s="10"/>
      <c r="G111" s="10">
        <v>1</v>
      </c>
      <c r="H111" s="3">
        <v>4</v>
      </c>
      <c r="I111" s="3">
        <v>4</v>
      </c>
      <c r="J111" s="3" t="s">
        <v>215</v>
      </c>
      <c r="K111" s="3">
        <v>25</v>
      </c>
      <c r="L111" s="3" t="s">
        <v>272</v>
      </c>
      <c r="M111" s="3" t="s">
        <v>236</v>
      </c>
      <c r="N111" s="3">
        <v>11</v>
      </c>
      <c r="O111" s="3">
        <v>11</v>
      </c>
      <c r="P111" s="3">
        <v>15</v>
      </c>
      <c r="Q111" s="3" t="s">
        <v>200</v>
      </c>
      <c r="R111" s="3">
        <v>7</v>
      </c>
      <c r="S111" s="3">
        <v>9</v>
      </c>
      <c r="T111" s="3">
        <v>4</v>
      </c>
      <c r="U111" t="s">
        <v>271</v>
      </c>
      <c r="V111" s="16">
        <f t="shared" si="20"/>
        <v>0.88888888888888884</v>
      </c>
      <c r="W111" s="16">
        <f t="shared" si="21"/>
        <v>1.3333333333333333</v>
      </c>
      <c r="X111" s="17" cm="1">
        <f t="array" ref="X111">$H111 *
IF(ISNUMBER(SEARCH("Rapid",$L111)),7/6,1) *
IF(OR(ISNUMBER(SEARCH("Beam",$L111)),ISNUMBER(SEARCH("Firestorm",$L111))),1, IF(ISNUMBER(SEARCH("Blast",$L111)),(4+$F111+(2-$F111)*0.5)/6*2,(4+$F111)/6)) *
IF(ISNUMBER(SEARCH("Fusion",$L111)), _xlfn.IFS(X$24-$I111 &lt;=1, 9/10, X$24-$I111 &lt;=10,(11-(X$24-$I111))/10, X$24-$I111 &gt;=11, 0),
_xlfn.IFS(X$24-$I111 &lt;=1, 5/6, X$24-$I111 &lt;=5, (7-(X$24-$I111))/6, AND(X$24-$I111 =6,NOT(_xlfn.IFNA(ISNUMBER(SEARCH("Rending",$L111)),FALSE))), (7-(X$24-$I111))/6, AND(X$24-$I111 &gt;=7,NOT(_xlfn.IFNA(ISNUMBER(SEARCH("Rending",$L111)),FALSE))), 0, X$24-$I111 =7, (7-(X$24-1-$I111))/6, X$24-$I111 =8, (7-(X$24-2-$I111))/6*2/3, X$24-$I111 =9, (7-(X$24-3-$I111))/6*1/3, TRUE, 0)) *
IF(ISNUMBER(SEARCH("Ordinance",$L111)),7/6,1) *
IF(OR(ISNUMBER(SEARCH("Melee",$L111)),ISNUMBER(SEARCH("Bypass",$L111))),1.5,1)</f>
        <v>0.88888888888888884</v>
      </c>
      <c r="Y111" s="17" cm="1">
        <f t="array" ref="Y111">$H111 *
IF(ISNUMBER(SEARCH("Rapid",$L111)),7/6,1) *
IF(OR(ISNUMBER(SEARCH("Beam",$L111)),ISNUMBER(SEARCH("Firestorm",$L111))),1, IF(ISNUMBER(SEARCH("Blast",$L111)),(4+$F111+(2-$F111)*0.5)/6*2,(4+$F111)/6)) *
IF(ISNUMBER(SEARCH("Fusion",$L111)), _xlfn.IFS(Y$24-$I111 &lt;=1, 9/10, Y$24-$I111 &lt;=10,(11-(Y$24-$I111))/10, Y$24-$I111 &gt;=11, 0),
_xlfn.IFS(Y$24-$I111 &lt;=1, 5/6, Y$24-$I111 &lt;=5, (7-(Y$24-$I111))/6, AND(Y$24-$I111 =6,NOT(_xlfn.IFNA(ISNUMBER(SEARCH("Rending",$L111)),FALSE))), (7-(Y$24-$I111))/6, AND(Y$24-$I111 &gt;=7,NOT(_xlfn.IFNA(ISNUMBER(SEARCH("Rending",$L111)),FALSE))), 0, Y$24-$I111 =7, (7-(Y$24-1-$I111))/6, Y$24-$I111 =8, (7-(Y$24-2-$I111))/6*2/3, Y$24-$I111 =9, (7-(Y$24-3-$I111))/6*1/3, TRUE, 0)) *
IF(ISNUMBER(SEARCH("Ordinance",$L111)),7/6,1) *
IF(OR(ISNUMBER(SEARCH("Melee",$L111)),ISNUMBER(SEARCH("Bypass",$L111))),1.5,1)</f>
        <v>0.44444444444444442</v>
      </c>
      <c r="Z111" s="17" cm="1">
        <f t="array" ref="Z111">$H111 *
IF(ISNUMBER(SEARCH("Rapid",$L111)),7/6,1) *
IF(OR(ISNUMBER(SEARCH("Beam",$L111)),ISNUMBER(SEARCH("Firestorm",$L111))),1, IF(ISNUMBER(SEARCH("Blast",$L111)),(4+$F111+(2-$F111)*0.5)/6*2,(4+$F111)/6)) *
IF(ISNUMBER(SEARCH("Fusion",$L111)), _xlfn.IFS(Z$24-$I111 &lt;=1, 9/10, Z$24-$I111 &lt;=10,(11-(Z$24-$I111))/10, Z$24-$I111 &gt;=11, 0),
_xlfn.IFS(Z$24-$I111 &lt;=1, 5/6, Z$24-$I111 &lt;=5, (7-(Z$24-$I111))/6, AND(Z$24-$I111 =6,NOT(_xlfn.IFNA(ISNUMBER(SEARCH("Rending",$L111)),FALSE))), (7-(Z$24-$I111))/6, AND(Z$24-$I111 &gt;=7,NOT(_xlfn.IFNA(ISNUMBER(SEARCH("Rending",$L111)),FALSE))), 0, Z$24-$I111 =7, (7-(Z$24-1-$I111))/6, Z$24-$I111 =8, (7-(Z$24-2-$I111))/6*2/3, Z$24-$I111 =9, (7-(Z$24-3-$I111))/6*1/3, TRUE, 0)) *
IF(ISNUMBER(SEARCH("Ordinance",$L111)),7/6,1) *
IF(OR(ISNUMBER(SEARCH("Melee",$L111)),ISNUMBER(SEARCH("Bypass",$L111))),1.5,1)</f>
        <v>0</v>
      </c>
      <c r="AA111" s="17" cm="1">
        <f t="array" ref="AA111">$H111 *
IF(ISNUMBER(SEARCH("Rapid",$L111)),7/6,1) *
IF(OR(ISNUMBER(SEARCH("Beam",$L111)),ISNUMBER(SEARCH("Firestorm",$L111))),1, IF(ISNUMBER(SEARCH("Blast",$L111)),(4+$F111+(2-$F111)*0.5)/6*2,(4+$F111)/6)) *
IF(ISNUMBER(SEARCH("Fusion",$L111)), _xlfn.IFS(AA$24-$I111 &lt;=1, 9/10, AA$24-$I111 &lt;=10,(11-(AA$24-$I111))/10, AA$24-$I111 &gt;=11, 0),
_xlfn.IFS(AA$24-$I111 &lt;=1, 5/6, AA$24-$I111 &lt;=5, (7-(AA$24-$I111))/6, AND(AA$24-$I111 =6,NOT(_xlfn.IFNA(ISNUMBER(SEARCH("Rending",$L111)),FALSE))), (7-(AA$24-$I111))/6, AND(AA$24-$I111 &gt;=7,NOT(_xlfn.IFNA(ISNUMBER(SEARCH("Rending",$L111)),FALSE))), 0, AA$24-$I111 =7, (7-(AA$24-1-$I111))/6, AA$24-$I111 =8, (7-(AA$24-2-$I111))/6*2/3, AA$24-$I111 =9, (7-(AA$24-3-$I111))/6*1/3, TRUE, 0)) *
IF(ISNUMBER(SEARCH("Ordinance",$L111)),7/6,1) *
IF(OR(ISNUMBER(SEARCH("Melee",$L111)),ISNUMBER(SEARCH("Bypass",$L111))),1.5,1)</f>
        <v>0</v>
      </c>
      <c r="AB111" s="17" cm="1">
        <f t="array" ref="AB111">$H111 *
IF(ISNUMBER(SEARCH("Rapid",$L111)),7/6,1) *
IF(OR(ISNUMBER(SEARCH("Beam",$L111)),ISNUMBER(SEARCH("Firestorm",$L111))),1, IF(ISNUMBER(SEARCH("Blast",$L111)),(4+$F111+(2-$F111)*0.5)/6*2,(4+$F111)/6)) *
IF(ISNUMBER(SEARCH("Fusion",$L111)), _xlfn.IFS(AB$24-$I111 &lt;=1, 9/10, AB$24-$I111 &lt;=10,(11-(AB$24-$I111))/10, AB$24-$I111 &gt;=11, 0),
_xlfn.IFS(AB$24-$I111 &lt;=1, 5/6, AB$24-$I111 &lt;=5, (7-(AB$24-$I111))/6, AND(AB$24-$I111 =6,NOT(_xlfn.IFNA(ISNUMBER(SEARCH("Rending",$L111)),FALSE))), (7-(AB$24-$I111))/6, AND(AB$24-$I111 &gt;=7,NOT(_xlfn.IFNA(ISNUMBER(SEARCH("Rending",$L111)),FALSE))), 0, AB$24-$I111 =7, (7-(AB$24-1-$I111))/6, AB$24-$I111 =8, (7-(AB$24-2-$I111))/6*2/3, AB$24-$I111 =9, (7-(AB$24-3-$I111))/6*1/3, TRUE, 0)) *
IF(ISNUMBER(SEARCH("Ordinance",$L111)),7/6,1) *
IF(OR(ISNUMBER(SEARCH("Melee",$L111)),ISNUMBER(SEARCH("Bypass",$L111))),1.5,1)</f>
        <v>0</v>
      </c>
      <c r="AC111" s="17" cm="1">
        <f t="array" ref="AC111">$H111 *
IF(ISNUMBER(SEARCH("Rapid",$L111)),7/6,1) *
IF(OR(ISNUMBER(SEARCH("Beam",$L111)),ISNUMBER(SEARCH("Firestorm",$L111))),1, IF(ISNUMBER(SEARCH("Blast",$L111)),(4+$F111+(2-$F111)*0.5)/6*2,(4+$F111)/6)) *
IF(ISNUMBER(SEARCH("Fusion",$L111)), _xlfn.IFS(AC$24-$I111 &lt;=1, 9/10, AC$24-$I111 &lt;=10,(11-(AC$24-$I111))/10, AC$24-$I111 &gt;=11, 0),
_xlfn.IFS(AC$24-$I111 &lt;=1, 5/6, AC$24-$I111 &lt;=5, (7-(AC$24-$I111))/6, AND(AC$24-$I111 =6,NOT(_xlfn.IFNA(ISNUMBER(SEARCH("Rending",$L111)),FALSE))), (7-(AC$24-$I111))/6, AND(AC$24-$I111 &gt;=7,NOT(_xlfn.IFNA(ISNUMBER(SEARCH("Rending",$L111)),FALSE))), 0, AC$24-$I111 =7, (7-(AC$24-1-$I111))/6, AC$24-$I111 =8, (7-(AC$24-2-$I111))/6*2/3, AC$24-$I111 =9, (7-(AC$24-3-$I111))/6*1/3, TRUE, 0)) *
IF(ISNUMBER(SEARCH("Ordinance",$L111)),7/6,1) *
IF(OR(ISNUMBER(SEARCH("Melee",$L111)),ISNUMBER(SEARCH("Bypass",$L111))),1.5,1)</f>
        <v>0</v>
      </c>
      <c r="AD111" s="17" cm="1">
        <f t="array" ref="AD111">$H111 *
IF(ISNUMBER(SEARCH("Rapid",$L111)),7/6,1) *
IF(OR(ISNUMBER(SEARCH("Beam",$L111)),ISNUMBER(SEARCH("Firestorm",$L111))),1, IF(ISNUMBER(SEARCH("Blast",$L111)),(4+$F111+(2-$F111)*0.5)/6*2,(4+$F111)/6)) *
IF(ISNUMBER(SEARCH("Fusion",$L111)), _xlfn.IFS(AD$24-$I111 &lt;=1, 9/10, AD$24-$I111 &lt;=10,(11-(AD$24-$I111))/10, AD$24-$I111 &gt;=11, 0),
_xlfn.IFS(AD$24-$I111 &lt;=1, 5/6, AD$24-$I111 &lt;=5, (7-(AD$24-$I111))/6, AND(AD$24-$I111 =6,NOT(_xlfn.IFNA(ISNUMBER(SEARCH("Rending",$L111)),FALSE))), (7-(AD$24-$I111))/6, AND(AD$24-$I111 &gt;=7,NOT(_xlfn.IFNA(ISNUMBER(SEARCH("Rending",$L111)),FALSE))), 0, AD$24-$I111 =7, (7-(AD$24-1-$I111))/6, AD$24-$I111 =8, (7-(AD$24-2-$I111))/6*2/3, AD$24-$I111 =9, (7-(AD$24-3-$I111))/6*1/3, TRUE, 0)) *
IF(ISNUMBER(SEARCH("Ordinance",$L111)),7/6,1) *
IF(OR(ISNUMBER(SEARCH("Melee",$L111)),ISNUMBER(SEARCH("Bypass",$L111))),1.5,1)</f>
        <v>0</v>
      </c>
      <c r="AE111" s="17" cm="1">
        <f t="array" ref="AE111">$H111 *
IF(ISNUMBER(SEARCH("Rapid",$L111)),7/6,1) *
IF(OR(ISNUMBER(SEARCH("Beam",$L111)),ISNUMBER(SEARCH("Firestorm",$L111))),1, IF(ISNUMBER(SEARCH("Blast",$L111)),(4+$F111+(2-$F111)*0.5)/6*2,(4+$F111)/6)) *
IF(ISNUMBER(SEARCH("Fusion",$L111)), _xlfn.IFS(AE$24-$I111 &lt;=1, 9/10, AE$24-$I111 &lt;=10,(11-(AE$24-$I111))/10, AE$24-$I111 &gt;=11, 0),
_xlfn.IFS(AE$24-$I111 &lt;=1, 5/6, AE$24-$I111 &lt;=5, (7-(AE$24-$I111))/6, AND(AE$24-$I111 =6,NOT(_xlfn.IFNA(ISNUMBER(SEARCH("Rending",$L111)),FALSE))), (7-(AE$24-$I111))/6, AND(AE$24-$I111 &gt;=7,NOT(_xlfn.IFNA(ISNUMBER(SEARCH("Rending",$L111)),FALSE))), 0, AE$24-$I111 =7, (7-(AE$24-1-$I111))/6, AE$24-$I111 =8, (7-(AE$24-2-$I111))/6*2/3, AE$24-$I111 =9, (7-(AE$24-3-$I111))/6*1/3, TRUE, 0)) *
IF(ISNUMBER(SEARCH("Ordinance",$L111)),7/6,1) *
IF(OR(ISNUMBER(SEARCH("Melee",$L111)),ISNUMBER(SEARCH("Bypass",$L111))),1.5,1)</f>
        <v>0</v>
      </c>
      <c r="AF111" s="17" cm="1">
        <f t="array" ref="AF111">$H111 *
IF(ISNUMBER(SEARCH("Rapid",$L111)),7/6,1) *
IF(OR(ISNUMBER(SEARCH("Beam",$L111)),ISNUMBER(SEARCH("Firestorm",$L111))),1, IF(ISNUMBER(SEARCH("Blast",$L111)),(4+$F111+(2-$F111)*0.5)/6*2,(4+$F111)/6)) *
IF(ISNUMBER(SEARCH("Fusion",$L111)), _xlfn.IFS(AF$24-$I111 &lt;=1, 9/10, AF$24-$I111 &lt;=10,(11-(AF$24-$I111))/10, AF$24-$I111 &gt;=11, 0),
_xlfn.IFS(AF$24-$I111 &lt;=1, 5/6, AF$24-$I111 &lt;=5, (7-(AF$24-$I111))/6, AND(AF$24-$I111 =6,NOT(_xlfn.IFNA(ISNUMBER(SEARCH("Rending",$L111)),FALSE))), (7-(AF$24-$I111))/6, AND(AF$24-$I111 &gt;=7,NOT(_xlfn.IFNA(ISNUMBER(SEARCH("Rending",$L111)),FALSE))), 0, AF$24-$I111 =7, (7-(AF$24-1-$I111))/6, AF$24-$I111 =8, (7-(AF$24-2-$I111))/6*2/3, AF$24-$I111 =9, (7-(AF$24-3-$I111))/6*1/3, TRUE, 0)) *
IF(ISNUMBER(SEARCH("Ordinance",$L111)),7/6,1) *
IF(OR(ISNUMBER(SEARCH("Melee",$L111)),ISNUMBER(SEARCH("Bypass",$L111))),1.5,1)</f>
        <v>0</v>
      </c>
      <c r="AG111" s="16">
        <f t="shared" si="22"/>
        <v>1.1111111111111112</v>
      </c>
      <c r="AH111" s="16">
        <f t="shared" si="23"/>
        <v>1.6666666666666667</v>
      </c>
      <c r="AI111" s="17" cm="1">
        <f t="array" ref="AI111">$H111 *
IF(ISNUMBER(SEARCH("Rapid",$L111)),7/6,1) *
IF(OR(ISNUMBER(SEARCH("Beam",$L111)),ISNUMBER(SEARCH("Firestorm",$L111))),1, IF(ISNUMBER(SEARCH("Blast",$L111)),(4+$G111+(2-$G111)*0.5)/6*2,(4+$G111)/6)) *
_xlfn.IFS(AI$24-$I111 &lt;=1, 5/6, AI$24-$I111 &lt;=5, (7-(AI$24-$I111))/6, AND(AI$24-$I111 =6,NOT(_xlfn.IFNA(ISNUMBER(SEARCH("Rending",$L111)),FALSE))), (7-(AI$24-$I111))/6, AND(AI$24-$I111 &gt;=7,NOT(_xlfn.IFNA(ISNUMBER(SEARCH("Rending",$L111)),FALSE))), 0, AI$24-$I111 =7, (7-(AI$24-1-$I111))/6, AI$24-$I111 =8, (7-(AI$24-2-$I111))/6*2/3, AI$24-$I111 =9, (7-(AI$24-3-$I111))/6*1/3, TRUE, 0) *
IF(ISNUMBER(SEARCH("Ordinance",$L111)),7/6,1) *
IF(OR(ISNUMBER(SEARCH("Melee",$L111)),ISNUMBER(SEARCH("Bypass",$L111))),1.5,1)</f>
        <v>1.1111111111111112</v>
      </c>
      <c r="AJ111" s="17" cm="1">
        <f t="array" ref="AJ111">$H111 *
IF(ISNUMBER(SEARCH("Rapid",$L111)),7/6,1) *
IF(OR(ISNUMBER(SEARCH("Beam",$L111)),ISNUMBER(SEARCH("Firestorm",$L111))),1, IF(ISNUMBER(SEARCH("Blast",$L111)),(4+$G111+(2-$G111)*0.5)/6*2,(4+$G111)/6)) *
_xlfn.IFS(AJ$24-$I111 &lt;=1, 5/6, AJ$24-$I111 &lt;=5, (7-(AJ$24-$I111))/6, AND(AJ$24-$I111 =6,NOT(_xlfn.IFNA(ISNUMBER(SEARCH("Rending",$L111)),FALSE))), (7-(AJ$24-$I111))/6, AND(AJ$24-$I111 &gt;=7,NOT(_xlfn.IFNA(ISNUMBER(SEARCH("Rending",$L111)),FALSE))), 0, AJ$24-$I111 =7, (7-(AJ$24-1-$I111))/6, AJ$24-$I111 =8, (7-(AJ$24-2-$I111))/6*2/3, AJ$24-$I111 =9, (7-(AJ$24-3-$I111))/6*1/3, TRUE, 0) *
IF(ISNUMBER(SEARCH("Ordinance",$L111)),7/6,1) *
IF(OR(ISNUMBER(SEARCH("Melee",$L111)),ISNUMBER(SEARCH("Bypass",$L111))),1.5,1)</f>
        <v>0.55555555555555558</v>
      </c>
      <c r="AK111" s="17" cm="1">
        <f t="array" ref="AK111">$H111 *
IF(ISNUMBER(SEARCH("Rapid",$L111)),7/6,1) *
IF(OR(ISNUMBER(SEARCH("Beam",$L111)),ISNUMBER(SEARCH("Firestorm",$L111))),1, IF(ISNUMBER(SEARCH("Blast",$L111)),(4+$G111+(2-$G111)*0.5)/6*2,(4+$G111)/6)) *
_xlfn.IFS(AK$24-$I111 &lt;=1, 5/6, AK$24-$I111 &lt;=5, (7-(AK$24-$I111))/6, AND(AK$24-$I111 =6,NOT(_xlfn.IFNA(ISNUMBER(SEARCH("Rending",$L111)),FALSE))), (7-(AK$24-$I111))/6, AND(AK$24-$I111 &gt;=7,NOT(_xlfn.IFNA(ISNUMBER(SEARCH("Rending",$L111)),FALSE))), 0, AK$24-$I111 =7, (7-(AK$24-1-$I111))/6, AK$24-$I111 =8, (7-(AK$24-2-$I111))/6*2/3, AK$24-$I111 =9, (7-(AK$24-3-$I111))/6*1/3, TRUE, 0) *
IF(ISNUMBER(SEARCH("Ordinance",$L111)),7/6,1) *
IF(OR(ISNUMBER(SEARCH("Melee",$L111)),ISNUMBER(SEARCH("Bypass",$L111))),1.5,1)</f>
        <v>0</v>
      </c>
      <c r="AL111" s="17" cm="1">
        <f t="array" ref="AL111">$H111 *
IF(ISNUMBER(SEARCH("Rapid",$L111)),7/6,1) *
IF(OR(ISNUMBER(SEARCH("Beam",$L111)),ISNUMBER(SEARCH("Firestorm",$L111))),1, IF(ISNUMBER(SEARCH("Blast",$L111)),(4+$G111+(2-$G111)*0.5)/6*2,(4+$G111)/6)) *
_xlfn.IFS(AL$24-$I111 &lt;=1, 5/6, AL$24-$I111 &lt;=5, (7-(AL$24-$I111))/6, AND(AL$24-$I111 =6,NOT(_xlfn.IFNA(ISNUMBER(SEARCH("Rending",$L111)),FALSE))), (7-(AL$24-$I111))/6, AND(AL$24-$I111 &gt;=7,NOT(_xlfn.IFNA(ISNUMBER(SEARCH("Rending",$L111)),FALSE))), 0, AL$24-$I111 =7, (7-(AL$24-1-$I111))/6, AL$24-$I111 =8, (7-(AL$24-2-$I111))/6*2/3, AL$24-$I111 =9, (7-(AL$24-3-$I111))/6*1/3, TRUE, 0) *
IF(ISNUMBER(SEARCH("Ordinance",$L111)),7/6,1) *
IF(OR(ISNUMBER(SEARCH("Melee",$L111)),ISNUMBER(SEARCH("Bypass",$L111))),1.5,1)</f>
        <v>0</v>
      </c>
      <c r="AM111" s="17" cm="1">
        <f t="array" ref="AM111">$H111 *
IF(ISNUMBER(SEARCH("Rapid",$L111)),7/6,1) *
IF(OR(ISNUMBER(SEARCH("Beam",$L111)),ISNUMBER(SEARCH("Firestorm",$L111))),1, IF(ISNUMBER(SEARCH("Blast",$L111)),(4+$G111+(2-$G111)*0.5)/6*2,(4+$G111)/6)) *
_xlfn.IFS(AM$24-$I111 &lt;=1, 5/6, AM$24-$I111 &lt;=5, (7-(AM$24-$I111))/6, AND(AM$24-$I111 =6,NOT(_xlfn.IFNA(ISNUMBER(SEARCH("Rending",$L111)),FALSE))), (7-(AM$24-$I111))/6, AND(AM$24-$I111 &gt;=7,NOT(_xlfn.IFNA(ISNUMBER(SEARCH("Rending",$L111)),FALSE))), 0, AM$24-$I111 =7, (7-(AM$24-1-$I111))/6, AM$24-$I111 =8, (7-(AM$24-2-$I111))/6*2/3, AM$24-$I111 =9, (7-(AM$24-3-$I111))/6*1/3, TRUE, 0) *
IF(ISNUMBER(SEARCH("Ordinance",$L111)),7/6,1) *
IF(OR(ISNUMBER(SEARCH("Melee",$L111)),ISNUMBER(SEARCH("Bypass",$L111))),1.5,1)</f>
        <v>0</v>
      </c>
      <c r="AN111" s="17" cm="1">
        <f t="array" ref="AN111">$H111 *
IF(ISNUMBER(SEARCH("Rapid",$L111)),7/6,1) *
IF(OR(ISNUMBER(SEARCH("Beam",$L111)),ISNUMBER(SEARCH("Firestorm",$L111))),1, IF(ISNUMBER(SEARCH("Blast",$L111)),(4+$G111+(2-$G111)*0.5)/6*2,(4+$G111)/6)) *
_xlfn.IFS(AN$24-$I111 &lt;=1, 5/6, AN$24-$I111 &lt;=5, (7-(AN$24-$I111))/6, AND(AN$24-$I111 =6,NOT(_xlfn.IFNA(ISNUMBER(SEARCH("Rending",$L111)),FALSE))), (7-(AN$24-$I111))/6, AND(AN$24-$I111 &gt;=7,NOT(_xlfn.IFNA(ISNUMBER(SEARCH("Rending",$L111)),FALSE))), 0, AN$24-$I111 =7, (7-(AN$24-1-$I111))/6, AN$24-$I111 =8, (7-(AN$24-2-$I111))/6*2/3, AN$24-$I111 =9, (7-(AN$24-3-$I111))/6*1/3, TRUE, 0) *
IF(ISNUMBER(SEARCH("Ordinance",$L111)),7/6,1) *
IF(OR(ISNUMBER(SEARCH("Melee",$L111)),ISNUMBER(SEARCH("Bypass",$L111))),1.5,1)</f>
        <v>0</v>
      </c>
      <c r="AO111" s="17" cm="1">
        <f t="array" ref="AO111">$H111 *
IF(ISNUMBER(SEARCH("Rapid",$L111)),7/6,1) *
IF(OR(ISNUMBER(SEARCH("Beam",$L111)),ISNUMBER(SEARCH("Firestorm",$L111))),1, IF(ISNUMBER(SEARCH("Blast",$L111)),(4+$G111+(2-$G111)*0.5)/6*2,(4+$G111)/6)) *
_xlfn.IFS(AO$24-$I111 &lt;=1, 5/6, AO$24-$I111 &lt;=5, (7-(AO$24-$I111))/6, AND(AO$24-$I111 =6,NOT(_xlfn.IFNA(ISNUMBER(SEARCH("Rending",$L111)),FALSE))), (7-(AO$24-$I111))/6, AND(AO$24-$I111 &gt;=7,NOT(_xlfn.IFNA(ISNUMBER(SEARCH("Rending",$L111)),FALSE))), 0, AO$24-$I111 =7, (7-(AO$24-1-$I111))/6, AO$24-$I111 =8, (7-(AO$24-2-$I111))/6*2/3, AO$24-$I111 =9, (7-(AO$24-3-$I111))/6*1/3, TRUE, 0) *
IF(ISNUMBER(SEARCH("Ordinance",$L111)),7/6,1) *
IF(OR(ISNUMBER(SEARCH("Melee",$L111)),ISNUMBER(SEARCH("Bypass",$L111))),1.5,1)</f>
        <v>0</v>
      </c>
      <c r="AP111" s="17" cm="1">
        <f t="array" ref="AP111">$H111 *
IF(ISNUMBER(SEARCH("Rapid",$L111)),7/6,1) *
IF(OR(ISNUMBER(SEARCH("Beam",$L111)),ISNUMBER(SEARCH("Firestorm",$L111))),1, IF(ISNUMBER(SEARCH("Blast",$L111)),(4+$G111+(2-$G111)*0.5)/6*2,(4+$G111)/6)) *
_xlfn.IFS(AP$24-$I111 &lt;=1, 5/6, AP$24-$I111 &lt;=5, (7-(AP$24-$I111))/6, AND(AP$24-$I111 =6,NOT(_xlfn.IFNA(ISNUMBER(SEARCH("Rending",$L111)),FALSE))), (7-(AP$24-$I111))/6, AND(AP$24-$I111 &gt;=7,NOT(_xlfn.IFNA(ISNUMBER(SEARCH("Rending",$L111)),FALSE))), 0, AP$24-$I111 =7, (7-(AP$24-1-$I111))/6, AP$24-$I111 =8, (7-(AP$24-2-$I111))/6*2/3, AP$24-$I111 =9, (7-(AP$24-3-$I111))/6*1/3, TRUE, 0) *
IF(ISNUMBER(SEARCH("Ordinance",$L111)),7/6,1) *
IF(OR(ISNUMBER(SEARCH("Melee",$L111)),ISNUMBER(SEARCH("Bypass",$L111))),1.5,1)</f>
        <v>0</v>
      </c>
      <c r="AQ111" s="17" cm="1">
        <f t="array" ref="AQ111">$H111 *
IF(ISNUMBER(SEARCH("Rapid",$L111)),7/6,1) *
IF(OR(ISNUMBER(SEARCH("Beam",$L111)),ISNUMBER(SEARCH("Firestorm",$L111))),1, IF(ISNUMBER(SEARCH("Blast",$L111)),(4+$G111+(2-$G111)*0.5)/6*2,(4+$G111)/6)) *
_xlfn.IFS(AQ$24-$I111 &lt;=1, 5/6, AQ$24-$I111 &lt;=5, (7-(AQ$24-$I111))/6, AND(AQ$24-$I111 =6,NOT(_xlfn.IFNA(ISNUMBER(SEARCH("Rending",$L111)),FALSE))), (7-(AQ$24-$I111))/6, AND(AQ$24-$I111 &gt;=7,NOT(_xlfn.IFNA(ISNUMBER(SEARCH("Rending",$L111)),FALSE))), 0, AQ$24-$I111 =7, (7-(AQ$24-1-$I111))/6, AQ$24-$I111 =8, (7-(AQ$24-2-$I111))/6*2/3, AQ$24-$I111 =9, (7-(AQ$24-3-$I111))/6*1/3, TRUE, 0) *
IF(ISNUMBER(SEARCH("Ordinance",$L111)),7/6,1) *
IF(OR(ISNUMBER(SEARCH("Melee",$L111)),ISNUMBER(SEARCH("Bypass",$L111))),1.5,1)</f>
        <v>0</v>
      </c>
      <c r="AS111" s="16">
        <f t="shared" si="26"/>
        <v>0.74074074074074081</v>
      </c>
      <c r="AT111" s="16">
        <f t="shared" si="27"/>
        <v>1.1111111111111112</v>
      </c>
      <c r="AU111" s="16">
        <f t="shared" si="28"/>
        <v>0.87407407407407411</v>
      </c>
      <c r="AV111" s="2">
        <v>9</v>
      </c>
    </row>
    <row r="112" spans="1:48" x14ac:dyDescent="0.3">
      <c r="A112" t="s">
        <v>274</v>
      </c>
      <c r="B112" s="3">
        <v>30</v>
      </c>
      <c r="C112" s="3">
        <v>120</v>
      </c>
      <c r="D112" s="3">
        <v>1</v>
      </c>
      <c r="E112" s="3">
        <v>2</v>
      </c>
      <c r="F112" s="10"/>
      <c r="G112" s="10">
        <v>1</v>
      </c>
      <c r="H112" s="3">
        <v>10</v>
      </c>
      <c r="I112" s="3">
        <v>4</v>
      </c>
      <c r="J112" s="3" t="s">
        <v>254</v>
      </c>
      <c r="K112" s="3">
        <v>35</v>
      </c>
      <c r="L112" s="3" t="s">
        <v>284</v>
      </c>
      <c r="M112" s="3" t="s">
        <v>236</v>
      </c>
      <c r="N112" s="3">
        <v>11</v>
      </c>
      <c r="O112" s="3">
        <v>11</v>
      </c>
      <c r="P112" s="3">
        <v>15</v>
      </c>
      <c r="Q112" s="3" t="s">
        <v>200</v>
      </c>
      <c r="R112" s="3">
        <v>7</v>
      </c>
      <c r="S112" s="3">
        <v>9</v>
      </c>
      <c r="T112" s="3">
        <v>4</v>
      </c>
      <c r="V112" s="16">
        <f t="shared" si="20"/>
        <v>2.2222222222222219</v>
      </c>
      <c r="W112" s="16">
        <f t="shared" si="21"/>
        <v>3.333333333333333</v>
      </c>
      <c r="X112" s="17" cm="1">
        <f t="array" ref="X112">$H112 *
IF(ISNUMBER(SEARCH("Rapid",$L112)),7/6,1) *
IF(OR(ISNUMBER(SEARCH("Beam",$L112)),ISNUMBER(SEARCH("Firestorm",$L112))),1, IF(ISNUMBER(SEARCH("Blast",$L112)),(4+$F112+(2-$F112)*0.5)/6*2,(4+$F112)/6)) *
IF(ISNUMBER(SEARCH("Fusion",$L112)), _xlfn.IFS(X$24-$I112 &lt;=1, 9/10, X$24-$I112 &lt;=10,(11-(X$24-$I112))/10, X$24-$I112 &gt;=11, 0),
_xlfn.IFS(X$24-$I112 &lt;=1, 5/6, X$24-$I112 &lt;=5, (7-(X$24-$I112))/6, AND(X$24-$I112 =6,NOT(_xlfn.IFNA(ISNUMBER(SEARCH("Rending",$L112)),FALSE))), (7-(X$24-$I112))/6, AND(X$24-$I112 &gt;=7,NOT(_xlfn.IFNA(ISNUMBER(SEARCH("Rending",$L112)),FALSE))), 0, X$24-$I112 =7, (7-(X$24-1-$I112))/6, X$24-$I112 =8, (7-(X$24-2-$I112))/6*2/3, X$24-$I112 =9, (7-(X$24-3-$I112))/6*1/3, TRUE, 0)) *
IF(ISNUMBER(SEARCH("Ordinance",$L112)),7/6,1) *
IF(OR(ISNUMBER(SEARCH("Melee",$L112)),ISNUMBER(SEARCH("Bypass",$L112))),1.5,1)</f>
        <v>2.2222222222222219</v>
      </c>
      <c r="Y112" s="17" cm="1">
        <f t="array" ref="Y112">$H112 *
IF(ISNUMBER(SEARCH("Rapid",$L112)),7/6,1) *
IF(OR(ISNUMBER(SEARCH("Beam",$L112)),ISNUMBER(SEARCH("Firestorm",$L112))),1, IF(ISNUMBER(SEARCH("Blast",$L112)),(4+$F112+(2-$F112)*0.5)/6*2,(4+$F112)/6)) *
IF(ISNUMBER(SEARCH("Fusion",$L112)), _xlfn.IFS(Y$24-$I112 &lt;=1, 9/10, Y$24-$I112 &lt;=10,(11-(Y$24-$I112))/10, Y$24-$I112 &gt;=11, 0),
_xlfn.IFS(Y$24-$I112 &lt;=1, 5/6, Y$24-$I112 &lt;=5, (7-(Y$24-$I112))/6, AND(Y$24-$I112 =6,NOT(_xlfn.IFNA(ISNUMBER(SEARCH("Rending",$L112)),FALSE))), (7-(Y$24-$I112))/6, AND(Y$24-$I112 &gt;=7,NOT(_xlfn.IFNA(ISNUMBER(SEARCH("Rending",$L112)),FALSE))), 0, Y$24-$I112 =7, (7-(Y$24-1-$I112))/6, Y$24-$I112 =8, (7-(Y$24-2-$I112))/6*2/3, Y$24-$I112 =9, (7-(Y$24-3-$I112))/6*1/3, TRUE, 0)) *
IF(ISNUMBER(SEARCH("Ordinance",$L112)),7/6,1) *
IF(OR(ISNUMBER(SEARCH("Melee",$L112)),ISNUMBER(SEARCH("Bypass",$L112))),1.5,1)</f>
        <v>1.1111111111111109</v>
      </c>
      <c r="Z112" s="17" cm="1">
        <f t="array" ref="Z112">$H112 *
IF(ISNUMBER(SEARCH("Rapid",$L112)),7/6,1) *
IF(OR(ISNUMBER(SEARCH("Beam",$L112)),ISNUMBER(SEARCH("Firestorm",$L112))),1, IF(ISNUMBER(SEARCH("Blast",$L112)),(4+$F112+(2-$F112)*0.5)/6*2,(4+$F112)/6)) *
IF(ISNUMBER(SEARCH("Fusion",$L112)), _xlfn.IFS(Z$24-$I112 &lt;=1, 9/10, Z$24-$I112 &lt;=10,(11-(Z$24-$I112))/10, Z$24-$I112 &gt;=11, 0),
_xlfn.IFS(Z$24-$I112 &lt;=1, 5/6, Z$24-$I112 &lt;=5, (7-(Z$24-$I112))/6, AND(Z$24-$I112 =6,NOT(_xlfn.IFNA(ISNUMBER(SEARCH("Rending",$L112)),FALSE))), (7-(Z$24-$I112))/6, AND(Z$24-$I112 &gt;=7,NOT(_xlfn.IFNA(ISNUMBER(SEARCH("Rending",$L112)),FALSE))), 0, Z$24-$I112 =7, (7-(Z$24-1-$I112))/6, Z$24-$I112 =8, (7-(Z$24-2-$I112))/6*2/3, Z$24-$I112 =9, (7-(Z$24-3-$I112))/6*1/3, TRUE, 0)) *
IF(ISNUMBER(SEARCH("Ordinance",$L112)),7/6,1) *
IF(OR(ISNUMBER(SEARCH("Melee",$L112)),ISNUMBER(SEARCH("Bypass",$L112))),1.5,1)</f>
        <v>0</v>
      </c>
      <c r="AA112" s="17" cm="1">
        <f t="array" ref="AA112">$H112 *
IF(ISNUMBER(SEARCH("Rapid",$L112)),7/6,1) *
IF(OR(ISNUMBER(SEARCH("Beam",$L112)),ISNUMBER(SEARCH("Firestorm",$L112))),1, IF(ISNUMBER(SEARCH("Blast",$L112)),(4+$F112+(2-$F112)*0.5)/6*2,(4+$F112)/6)) *
IF(ISNUMBER(SEARCH("Fusion",$L112)), _xlfn.IFS(AA$24-$I112 &lt;=1, 9/10, AA$24-$I112 &lt;=10,(11-(AA$24-$I112))/10, AA$24-$I112 &gt;=11, 0),
_xlfn.IFS(AA$24-$I112 &lt;=1, 5/6, AA$24-$I112 &lt;=5, (7-(AA$24-$I112))/6, AND(AA$24-$I112 =6,NOT(_xlfn.IFNA(ISNUMBER(SEARCH("Rending",$L112)),FALSE))), (7-(AA$24-$I112))/6, AND(AA$24-$I112 &gt;=7,NOT(_xlfn.IFNA(ISNUMBER(SEARCH("Rending",$L112)),FALSE))), 0, AA$24-$I112 =7, (7-(AA$24-1-$I112))/6, AA$24-$I112 =8, (7-(AA$24-2-$I112))/6*2/3, AA$24-$I112 =9, (7-(AA$24-3-$I112))/6*1/3, TRUE, 0)) *
IF(ISNUMBER(SEARCH("Ordinance",$L112)),7/6,1) *
IF(OR(ISNUMBER(SEARCH("Melee",$L112)),ISNUMBER(SEARCH("Bypass",$L112))),1.5,1)</f>
        <v>0</v>
      </c>
      <c r="AB112" s="17" cm="1">
        <f t="array" ref="AB112">$H112 *
IF(ISNUMBER(SEARCH("Rapid",$L112)),7/6,1) *
IF(OR(ISNUMBER(SEARCH("Beam",$L112)),ISNUMBER(SEARCH("Firestorm",$L112))),1, IF(ISNUMBER(SEARCH("Blast",$L112)),(4+$F112+(2-$F112)*0.5)/6*2,(4+$F112)/6)) *
IF(ISNUMBER(SEARCH("Fusion",$L112)), _xlfn.IFS(AB$24-$I112 &lt;=1, 9/10, AB$24-$I112 &lt;=10,(11-(AB$24-$I112))/10, AB$24-$I112 &gt;=11, 0),
_xlfn.IFS(AB$24-$I112 &lt;=1, 5/6, AB$24-$I112 &lt;=5, (7-(AB$24-$I112))/6, AND(AB$24-$I112 =6,NOT(_xlfn.IFNA(ISNUMBER(SEARCH("Rending",$L112)),FALSE))), (7-(AB$24-$I112))/6, AND(AB$24-$I112 &gt;=7,NOT(_xlfn.IFNA(ISNUMBER(SEARCH("Rending",$L112)),FALSE))), 0, AB$24-$I112 =7, (7-(AB$24-1-$I112))/6, AB$24-$I112 =8, (7-(AB$24-2-$I112))/6*2/3, AB$24-$I112 =9, (7-(AB$24-3-$I112))/6*1/3, TRUE, 0)) *
IF(ISNUMBER(SEARCH("Ordinance",$L112)),7/6,1) *
IF(OR(ISNUMBER(SEARCH("Melee",$L112)),ISNUMBER(SEARCH("Bypass",$L112))),1.5,1)</f>
        <v>0</v>
      </c>
      <c r="AC112" s="17" cm="1">
        <f t="array" ref="AC112">$H112 *
IF(ISNUMBER(SEARCH("Rapid",$L112)),7/6,1) *
IF(OR(ISNUMBER(SEARCH("Beam",$L112)),ISNUMBER(SEARCH("Firestorm",$L112))),1, IF(ISNUMBER(SEARCH("Blast",$L112)),(4+$F112+(2-$F112)*0.5)/6*2,(4+$F112)/6)) *
IF(ISNUMBER(SEARCH("Fusion",$L112)), _xlfn.IFS(AC$24-$I112 &lt;=1, 9/10, AC$24-$I112 &lt;=10,(11-(AC$24-$I112))/10, AC$24-$I112 &gt;=11, 0),
_xlfn.IFS(AC$24-$I112 &lt;=1, 5/6, AC$24-$I112 &lt;=5, (7-(AC$24-$I112))/6, AND(AC$24-$I112 =6,NOT(_xlfn.IFNA(ISNUMBER(SEARCH("Rending",$L112)),FALSE))), (7-(AC$24-$I112))/6, AND(AC$24-$I112 &gt;=7,NOT(_xlfn.IFNA(ISNUMBER(SEARCH("Rending",$L112)),FALSE))), 0, AC$24-$I112 =7, (7-(AC$24-1-$I112))/6, AC$24-$I112 =8, (7-(AC$24-2-$I112))/6*2/3, AC$24-$I112 =9, (7-(AC$24-3-$I112))/6*1/3, TRUE, 0)) *
IF(ISNUMBER(SEARCH("Ordinance",$L112)),7/6,1) *
IF(OR(ISNUMBER(SEARCH("Melee",$L112)),ISNUMBER(SEARCH("Bypass",$L112))),1.5,1)</f>
        <v>0</v>
      </c>
      <c r="AD112" s="17" cm="1">
        <f t="array" ref="AD112">$H112 *
IF(ISNUMBER(SEARCH("Rapid",$L112)),7/6,1) *
IF(OR(ISNUMBER(SEARCH("Beam",$L112)),ISNUMBER(SEARCH("Firestorm",$L112))),1, IF(ISNUMBER(SEARCH("Blast",$L112)),(4+$F112+(2-$F112)*0.5)/6*2,(4+$F112)/6)) *
IF(ISNUMBER(SEARCH("Fusion",$L112)), _xlfn.IFS(AD$24-$I112 &lt;=1, 9/10, AD$24-$I112 &lt;=10,(11-(AD$24-$I112))/10, AD$24-$I112 &gt;=11, 0),
_xlfn.IFS(AD$24-$I112 &lt;=1, 5/6, AD$24-$I112 &lt;=5, (7-(AD$24-$I112))/6, AND(AD$24-$I112 =6,NOT(_xlfn.IFNA(ISNUMBER(SEARCH("Rending",$L112)),FALSE))), (7-(AD$24-$I112))/6, AND(AD$24-$I112 &gt;=7,NOT(_xlfn.IFNA(ISNUMBER(SEARCH("Rending",$L112)),FALSE))), 0, AD$24-$I112 =7, (7-(AD$24-1-$I112))/6, AD$24-$I112 =8, (7-(AD$24-2-$I112))/6*2/3, AD$24-$I112 =9, (7-(AD$24-3-$I112))/6*1/3, TRUE, 0)) *
IF(ISNUMBER(SEARCH("Ordinance",$L112)),7/6,1) *
IF(OR(ISNUMBER(SEARCH("Melee",$L112)),ISNUMBER(SEARCH("Bypass",$L112))),1.5,1)</f>
        <v>0</v>
      </c>
      <c r="AE112" s="17" cm="1">
        <f t="array" ref="AE112">$H112 *
IF(ISNUMBER(SEARCH("Rapid",$L112)),7/6,1) *
IF(OR(ISNUMBER(SEARCH("Beam",$L112)),ISNUMBER(SEARCH("Firestorm",$L112))),1, IF(ISNUMBER(SEARCH("Blast",$L112)),(4+$F112+(2-$F112)*0.5)/6*2,(4+$F112)/6)) *
IF(ISNUMBER(SEARCH("Fusion",$L112)), _xlfn.IFS(AE$24-$I112 &lt;=1, 9/10, AE$24-$I112 &lt;=10,(11-(AE$24-$I112))/10, AE$24-$I112 &gt;=11, 0),
_xlfn.IFS(AE$24-$I112 &lt;=1, 5/6, AE$24-$I112 &lt;=5, (7-(AE$24-$I112))/6, AND(AE$24-$I112 =6,NOT(_xlfn.IFNA(ISNUMBER(SEARCH("Rending",$L112)),FALSE))), (7-(AE$24-$I112))/6, AND(AE$24-$I112 &gt;=7,NOT(_xlfn.IFNA(ISNUMBER(SEARCH("Rending",$L112)),FALSE))), 0, AE$24-$I112 =7, (7-(AE$24-1-$I112))/6, AE$24-$I112 =8, (7-(AE$24-2-$I112))/6*2/3, AE$24-$I112 =9, (7-(AE$24-3-$I112))/6*1/3, TRUE, 0)) *
IF(ISNUMBER(SEARCH("Ordinance",$L112)),7/6,1) *
IF(OR(ISNUMBER(SEARCH("Melee",$L112)),ISNUMBER(SEARCH("Bypass",$L112))),1.5,1)</f>
        <v>0</v>
      </c>
      <c r="AF112" s="17" cm="1">
        <f t="array" ref="AF112">$H112 *
IF(ISNUMBER(SEARCH("Rapid",$L112)),7/6,1) *
IF(OR(ISNUMBER(SEARCH("Beam",$L112)),ISNUMBER(SEARCH("Firestorm",$L112))),1, IF(ISNUMBER(SEARCH("Blast",$L112)),(4+$F112+(2-$F112)*0.5)/6*2,(4+$F112)/6)) *
IF(ISNUMBER(SEARCH("Fusion",$L112)), _xlfn.IFS(AF$24-$I112 &lt;=1, 9/10, AF$24-$I112 &lt;=10,(11-(AF$24-$I112))/10, AF$24-$I112 &gt;=11, 0),
_xlfn.IFS(AF$24-$I112 &lt;=1, 5/6, AF$24-$I112 &lt;=5, (7-(AF$24-$I112))/6, AND(AF$24-$I112 =6,NOT(_xlfn.IFNA(ISNUMBER(SEARCH("Rending",$L112)),FALSE))), (7-(AF$24-$I112))/6, AND(AF$24-$I112 &gt;=7,NOT(_xlfn.IFNA(ISNUMBER(SEARCH("Rending",$L112)),FALSE))), 0, AF$24-$I112 =7, (7-(AF$24-1-$I112))/6, AF$24-$I112 =8, (7-(AF$24-2-$I112))/6*2/3, AF$24-$I112 =9, (7-(AF$24-3-$I112))/6*1/3, TRUE, 0)) *
IF(ISNUMBER(SEARCH("Ordinance",$L112)),7/6,1) *
IF(OR(ISNUMBER(SEARCH("Melee",$L112)),ISNUMBER(SEARCH("Bypass",$L112))),1.5,1)</f>
        <v>0</v>
      </c>
      <c r="AG112" s="16">
        <f t="shared" si="22"/>
        <v>2.7777777777777777</v>
      </c>
      <c r="AH112" s="16">
        <f t="shared" si="23"/>
        <v>4.166666666666667</v>
      </c>
      <c r="AI112" s="17" cm="1">
        <f t="array" ref="AI112">$H112 *
IF(ISNUMBER(SEARCH("Rapid",$L112)),7/6,1) *
IF(OR(ISNUMBER(SEARCH("Beam",$L112)),ISNUMBER(SEARCH("Firestorm",$L112))),1, IF(ISNUMBER(SEARCH("Blast",$L112)),(4+$G112+(2-$G112)*0.5)/6*2,(4+$G112)/6)) *
_xlfn.IFS(AI$24-$I112 &lt;=1, 5/6, AI$24-$I112 &lt;=5, (7-(AI$24-$I112))/6, AND(AI$24-$I112 =6,NOT(_xlfn.IFNA(ISNUMBER(SEARCH("Rending",$L112)),FALSE))), (7-(AI$24-$I112))/6, AND(AI$24-$I112 &gt;=7,NOT(_xlfn.IFNA(ISNUMBER(SEARCH("Rending",$L112)),FALSE))), 0, AI$24-$I112 =7, (7-(AI$24-1-$I112))/6, AI$24-$I112 =8, (7-(AI$24-2-$I112))/6*2/3, AI$24-$I112 =9, (7-(AI$24-3-$I112))/6*1/3, TRUE, 0) *
IF(ISNUMBER(SEARCH("Ordinance",$L112)),7/6,1) *
IF(OR(ISNUMBER(SEARCH("Melee",$L112)),ISNUMBER(SEARCH("Bypass",$L112))),1.5,1)</f>
        <v>2.7777777777777777</v>
      </c>
      <c r="AJ112" s="17" cm="1">
        <f t="array" ref="AJ112">$H112 *
IF(ISNUMBER(SEARCH("Rapid",$L112)),7/6,1) *
IF(OR(ISNUMBER(SEARCH("Beam",$L112)),ISNUMBER(SEARCH("Firestorm",$L112))),1, IF(ISNUMBER(SEARCH("Blast",$L112)),(4+$G112+(2-$G112)*0.5)/6*2,(4+$G112)/6)) *
_xlfn.IFS(AJ$24-$I112 &lt;=1, 5/6, AJ$24-$I112 &lt;=5, (7-(AJ$24-$I112))/6, AND(AJ$24-$I112 =6,NOT(_xlfn.IFNA(ISNUMBER(SEARCH("Rending",$L112)),FALSE))), (7-(AJ$24-$I112))/6, AND(AJ$24-$I112 &gt;=7,NOT(_xlfn.IFNA(ISNUMBER(SEARCH("Rending",$L112)),FALSE))), 0, AJ$24-$I112 =7, (7-(AJ$24-1-$I112))/6, AJ$24-$I112 =8, (7-(AJ$24-2-$I112))/6*2/3, AJ$24-$I112 =9, (7-(AJ$24-3-$I112))/6*1/3, TRUE, 0) *
IF(ISNUMBER(SEARCH("Ordinance",$L112)),7/6,1) *
IF(OR(ISNUMBER(SEARCH("Melee",$L112)),ISNUMBER(SEARCH("Bypass",$L112))),1.5,1)</f>
        <v>1.3888888888888888</v>
      </c>
      <c r="AK112" s="17" cm="1">
        <f t="array" ref="AK112">$H112 *
IF(ISNUMBER(SEARCH("Rapid",$L112)),7/6,1) *
IF(OR(ISNUMBER(SEARCH("Beam",$L112)),ISNUMBER(SEARCH("Firestorm",$L112))),1, IF(ISNUMBER(SEARCH("Blast",$L112)),(4+$G112+(2-$G112)*0.5)/6*2,(4+$G112)/6)) *
_xlfn.IFS(AK$24-$I112 &lt;=1, 5/6, AK$24-$I112 &lt;=5, (7-(AK$24-$I112))/6, AND(AK$24-$I112 =6,NOT(_xlfn.IFNA(ISNUMBER(SEARCH("Rending",$L112)),FALSE))), (7-(AK$24-$I112))/6, AND(AK$24-$I112 &gt;=7,NOT(_xlfn.IFNA(ISNUMBER(SEARCH("Rending",$L112)),FALSE))), 0, AK$24-$I112 =7, (7-(AK$24-1-$I112))/6, AK$24-$I112 =8, (7-(AK$24-2-$I112))/6*2/3, AK$24-$I112 =9, (7-(AK$24-3-$I112))/6*1/3, TRUE, 0) *
IF(ISNUMBER(SEARCH("Ordinance",$L112)),7/6,1) *
IF(OR(ISNUMBER(SEARCH("Melee",$L112)),ISNUMBER(SEARCH("Bypass",$L112))),1.5,1)</f>
        <v>0</v>
      </c>
      <c r="AL112" s="17" cm="1">
        <f t="array" ref="AL112">$H112 *
IF(ISNUMBER(SEARCH("Rapid",$L112)),7/6,1) *
IF(OR(ISNUMBER(SEARCH("Beam",$L112)),ISNUMBER(SEARCH("Firestorm",$L112))),1, IF(ISNUMBER(SEARCH("Blast",$L112)),(4+$G112+(2-$G112)*0.5)/6*2,(4+$G112)/6)) *
_xlfn.IFS(AL$24-$I112 &lt;=1, 5/6, AL$24-$I112 &lt;=5, (7-(AL$24-$I112))/6, AND(AL$24-$I112 =6,NOT(_xlfn.IFNA(ISNUMBER(SEARCH("Rending",$L112)),FALSE))), (7-(AL$24-$I112))/6, AND(AL$24-$I112 &gt;=7,NOT(_xlfn.IFNA(ISNUMBER(SEARCH("Rending",$L112)),FALSE))), 0, AL$24-$I112 =7, (7-(AL$24-1-$I112))/6, AL$24-$I112 =8, (7-(AL$24-2-$I112))/6*2/3, AL$24-$I112 =9, (7-(AL$24-3-$I112))/6*1/3, TRUE, 0) *
IF(ISNUMBER(SEARCH("Ordinance",$L112)),7/6,1) *
IF(OR(ISNUMBER(SEARCH("Melee",$L112)),ISNUMBER(SEARCH("Bypass",$L112))),1.5,1)</f>
        <v>0</v>
      </c>
      <c r="AM112" s="17" cm="1">
        <f t="array" ref="AM112">$H112 *
IF(ISNUMBER(SEARCH("Rapid",$L112)),7/6,1) *
IF(OR(ISNUMBER(SEARCH("Beam",$L112)),ISNUMBER(SEARCH("Firestorm",$L112))),1, IF(ISNUMBER(SEARCH("Blast",$L112)),(4+$G112+(2-$G112)*0.5)/6*2,(4+$G112)/6)) *
_xlfn.IFS(AM$24-$I112 &lt;=1, 5/6, AM$24-$I112 &lt;=5, (7-(AM$24-$I112))/6, AND(AM$24-$I112 =6,NOT(_xlfn.IFNA(ISNUMBER(SEARCH("Rending",$L112)),FALSE))), (7-(AM$24-$I112))/6, AND(AM$24-$I112 &gt;=7,NOT(_xlfn.IFNA(ISNUMBER(SEARCH("Rending",$L112)),FALSE))), 0, AM$24-$I112 =7, (7-(AM$24-1-$I112))/6, AM$24-$I112 =8, (7-(AM$24-2-$I112))/6*2/3, AM$24-$I112 =9, (7-(AM$24-3-$I112))/6*1/3, TRUE, 0) *
IF(ISNUMBER(SEARCH("Ordinance",$L112)),7/6,1) *
IF(OR(ISNUMBER(SEARCH("Melee",$L112)),ISNUMBER(SEARCH("Bypass",$L112))),1.5,1)</f>
        <v>0</v>
      </c>
      <c r="AN112" s="17" cm="1">
        <f t="array" ref="AN112">$H112 *
IF(ISNUMBER(SEARCH("Rapid",$L112)),7/6,1) *
IF(OR(ISNUMBER(SEARCH("Beam",$L112)),ISNUMBER(SEARCH("Firestorm",$L112))),1, IF(ISNUMBER(SEARCH("Blast",$L112)),(4+$G112+(2-$G112)*0.5)/6*2,(4+$G112)/6)) *
_xlfn.IFS(AN$24-$I112 &lt;=1, 5/6, AN$24-$I112 &lt;=5, (7-(AN$24-$I112))/6, AND(AN$24-$I112 =6,NOT(_xlfn.IFNA(ISNUMBER(SEARCH("Rending",$L112)),FALSE))), (7-(AN$24-$I112))/6, AND(AN$24-$I112 &gt;=7,NOT(_xlfn.IFNA(ISNUMBER(SEARCH("Rending",$L112)),FALSE))), 0, AN$24-$I112 =7, (7-(AN$24-1-$I112))/6, AN$24-$I112 =8, (7-(AN$24-2-$I112))/6*2/3, AN$24-$I112 =9, (7-(AN$24-3-$I112))/6*1/3, TRUE, 0) *
IF(ISNUMBER(SEARCH("Ordinance",$L112)),7/6,1) *
IF(OR(ISNUMBER(SEARCH("Melee",$L112)),ISNUMBER(SEARCH("Bypass",$L112))),1.5,1)</f>
        <v>0</v>
      </c>
      <c r="AO112" s="17" cm="1">
        <f t="array" ref="AO112">$H112 *
IF(ISNUMBER(SEARCH("Rapid",$L112)),7/6,1) *
IF(OR(ISNUMBER(SEARCH("Beam",$L112)),ISNUMBER(SEARCH("Firestorm",$L112))),1, IF(ISNUMBER(SEARCH("Blast",$L112)),(4+$G112+(2-$G112)*0.5)/6*2,(4+$G112)/6)) *
_xlfn.IFS(AO$24-$I112 &lt;=1, 5/6, AO$24-$I112 &lt;=5, (7-(AO$24-$I112))/6, AND(AO$24-$I112 =6,NOT(_xlfn.IFNA(ISNUMBER(SEARCH("Rending",$L112)),FALSE))), (7-(AO$24-$I112))/6, AND(AO$24-$I112 &gt;=7,NOT(_xlfn.IFNA(ISNUMBER(SEARCH("Rending",$L112)),FALSE))), 0, AO$24-$I112 =7, (7-(AO$24-1-$I112))/6, AO$24-$I112 =8, (7-(AO$24-2-$I112))/6*2/3, AO$24-$I112 =9, (7-(AO$24-3-$I112))/6*1/3, TRUE, 0) *
IF(ISNUMBER(SEARCH("Ordinance",$L112)),7/6,1) *
IF(OR(ISNUMBER(SEARCH("Melee",$L112)),ISNUMBER(SEARCH("Bypass",$L112))),1.5,1)</f>
        <v>0</v>
      </c>
      <c r="AP112" s="17" cm="1">
        <f t="array" ref="AP112">$H112 *
IF(ISNUMBER(SEARCH("Rapid",$L112)),7/6,1) *
IF(OR(ISNUMBER(SEARCH("Beam",$L112)),ISNUMBER(SEARCH("Firestorm",$L112))),1, IF(ISNUMBER(SEARCH("Blast",$L112)),(4+$G112+(2-$G112)*0.5)/6*2,(4+$G112)/6)) *
_xlfn.IFS(AP$24-$I112 &lt;=1, 5/6, AP$24-$I112 &lt;=5, (7-(AP$24-$I112))/6, AND(AP$24-$I112 =6,NOT(_xlfn.IFNA(ISNUMBER(SEARCH("Rending",$L112)),FALSE))), (7-(AP$24-$I112))/6, AND(AP$24-$I112 &gt;=7,NOT(_xlfn.IFNA(ISNUMBER(SEARCH("Rending",$L112)),FALSE))), 0, AP$24-$I112 =7, (7-(AP$24-1-$I112))/6, AP$24-$I112 =8, (7-(AP$24-2-$I112))/6*2/3, AP$24-$I112 =9, (7-(AP$24-3-$I112))/6*1/3, TRUE, 0) *
IF(ISNUMBER(SEARCH("Ordinance",$L112)),7/6,1) *
IF(OR(ISNUMBER(SEARCH("Melee",$L112)),ISNUMBER(SEARCH("Bypass",$L112))),1.5,1)</f>
        <v>0</v>
      </c>
      <c r="AQ112" s="17" cm="1">
        <f t="array" ref="AQ112">$H112 *
IF(ISNUMBER(SEARCH("Rapid",$L112)),7/6,1) *
IF(OR(ISNUMBER(SEARCH("Beam",$L112)),ISNUMBER(SEARCH("Firestorm",$L112))),1, IF(ISNUMBER(SEARCH("Blast",$L112)),(4+$G112+(2-$G112)*0.5)/6*2,(4+$G112)/6)) *
_xlfn.IFS(AQ$24-$I112 &lt;=1, 5/6, AQ$24-$I112 &lt;=5, (7-(AQ$24-$I112))/6, AND(AQ$24-$I112 =6,NOT(_xlfn.IFNA(ISNUMBER(SEARCH("Rending",$L112)),FALSE))), (7-(AQ$24-$I112))/6, AND(AQ$24-$I112 &gt;=7,NOT(_xlfn.IFNA(ISNUMBER(SEARCH("Rending",$L112)),FALSE))), 0, AQ$24-$I112 =7, (7-(AQ$24-1-$I112))/6, AQ$24-$I112 =8, (7-(AQ$24-2-$I112))/6*2/3, AQ$24-$I112 =9, (7-(AQ$24-3-$I112))/6*1/3, TRUE, 0) *
IF(ISNUMBER(SEARCH("Ordinance",$L112)),7/6,1) *
IF(OR(ISNUMBER(SEARCH("Melee",$L112)),ISNUMBER(SEARCH("Bypass",$L112))),1.5,1)</f>
        <v>0</v>
      </c>
      <c r="AS112" s="16">
        <f t="shared" si="26"/>
        <v>1.8518518518518519</v>
      </c>
      <c r="AT112" s="16">
        <f t="shared" si="27"/>
        <v>2.7777777777777781</v>
      </c>
      <c r="AU112" s="16">
        <f t="shared" si="28"/>
        <v>2.1851851851851851</v>
      </c>
      <c r="AV112" s="2">
        <v>9</v>
      </c>
    </row>
    <row r="113" spans="1:48" x14ac:dyDescent="0.3">
      <c r="A113" t="s">
        <v>625</v>
      </c>
      <c r="B113" s="3">
        <v>22</v>
      </c>
      <c r="C113" s="3">
        <v>45</v>
      </c>
      <c r="D113" s="3">
        <v>1</v>
      </c>
      <c r="E113" s="3">
        <v>2</v>
      </c>
      <c r="F113" s="10"/>
      <c r="G113" s="10"/>
      <c r="H113" s="3">
        <v>2</v>
      </c>
      <c r="I113" s="3">
        <v>10</v>
      </c>
      <c r="J113" s="3" t="s">
        <v>248</v>
      </c>
      <c r="K113" s="3">
        <v>30</v>
      </c>
      <c r="L113" s="3" t="s">
        <v>624</v>
      </c>
      <c r="M113" s="3" t="s">
        <v>199</v>
      </c>
      <c r="N113" s="3">
        <v>11</v>
      </c>
      <c r="O113" s="3">
        <v>11</v>
      </c>
      <c r="P113" s="3">
        <v>15</v>
      </c>
      <c r="Q113" s="3" t="s">
        <v>200</v>
      </c>
      <c r="R113" s="3">
        <v>7</v>
      </c>
      <c r="S113" s="3">
        <v>9</v>
      </c>
      <c r="T113" s="46">
        <v>4</v>
      </c>
      <c r="V113" s="16">
        <f t="shared" si="20"/>
        <v>0.44444444444444442</v>
      </c>
      <c r="W113" s="16">
        <f t="shared" si="21"/>
        <v>0.66666666666666663</v>
      </c>
      <c r="X113" s="17" cm="1">
        <f t="array" ref="X113">$H113 *
IF(ISNUMBER(SEARCH("Rapid",$L113)),7/6,1) *
IF(OR(ISNUMBER(SEARCH("Beam",$L113)),ISNUMBER(SEARCH("Firestorm",$L113))),1, IF(ISNUMBER(SEARCH("Blast",$L113)),(4+$F113+(2-$F113)*0.5)/6*2,(4+$F113)/6)) *
IF(ISNUMBER(SEARCH("Fusion",$L113)), _xlfn.IFS(X$24-$I113 &lt;=1, 9/10, X$24-$I113 &lt;=10,(11-(X$24-$I113))/10, X$24-$I113 &gt;=11, 0),
_xlfn.IFS(X$24-$I113 &lt;=1, 5/6, X$24-$I113 &lt;=5, (7-(X$24-$I113))/6, AND(X$24-$I113 =6,NOT(_xlfn.IFNA(ISNUMBER(SEARCH("Rending",$L113)),FALSE))), (7-(X$24-$I113))/6, AND(X$24-$I113 &gt;=7,NOT(_xlfn.IFNA(ISNUMBER(SEARCH("Rending",$L113)),FALSE))), 0, X$24-$I113 =7, (7-(X$24-1-$I113))/6, X$24-$I113 =8, (7-(X$24-2-$I113))/6*2/3, X$24-$I113 =9, (7-(X$24-3-$I113))/6*1/3, TRUE, 0)) *
IF(ISNUMBER(SEARCH("Ordinance",$L113)),7/6,1) *
IF(OR(ISNUMBER(SEARCH("Melee",$L113)),ISNUMBER(SEARCH("Bypass",$L113))),1.5,1)</f>
        <v>1.1111111111111112</v>
      </c>
      <c r="Y113" s="17" cm="1">
        <f t="array" ref="Y113">$H113 *
IF(ISNUMBER(SEARCH("Rapid",$L113)),7/6,1) *
IF(OR(ISNUMBER(SEARCH("Beam",$L113)),ISNUMBER(SEARCH("Firestorm",$L113))),1, IF(ISNUMBER(SEARCH("Blast",$L113)),(4+$F113+(2-$F113)*0.5)/6*2,(4+$F113)/6)) *
IF(ISNUMBER(SEARCH("Fusion",$L113)), _xlfn.IFS(Y$24-$I113 &lt;=1, 9/10, Y$24-$I113 &lt;=10,(11-(Y$24-$I113))/10, Y$24-$I113 &gt;=11, 0),
_xlfn.IFS(Y$24-$I113 &lt;=1, 5/6, Y$24-$I113 &lt;=5, (7-(Y$24-$I113))/6, AND(Y$24-$I113 =6,NOT(_xlfn.IFNA(ISNUMBER(SEARCH("Rending",$L113)),FALSE))), (7-(Y$24-$I113))/6, AND(Y$24-$I113 &gt;=7,NOT(_xlfn.IFNA(ISNUMBER(SEARCH("Rending",$L113)),FALSE))), 0, Y$24-$I113 =7, (7-(Y$24-1-$I113))/6, Y$24-$I113 =8, (7-(Y$24-2-$I113))/6*2/3, Y$24-$I113 =9, (7-(Y$24-3-$I113))/6*1/3, TRUE, 0)) *
IF(ISNUMBER(SEARCH("Ordinance",$L113)),7/6,1) *
IF(OR(ISNUMBER(SEARCH("Melee",$L113)),ISNUMBER(SEARCH("Bypass",$L113))),1.5,1)</f>
        <v>1.1111111111111112</v>
      </c>
      <c r="Z113" s="17" cm="1">
        <f t="array" ref="Z113">$H113 *
IF(ISNUMBER(SEARCH("Rapid",$L113)),7/6,1) *
IF(OR(ISNUMBER(SEARCH("Beam",$L113)),ISNUMBER(SEARCH("Firestorm",$L113))),1, IF(ISNUMBER(SEARCH("Blast",$L113)),(4+$F113+(2-$F113)*0.5)/6*2,(4+$F113)/6)) *
IF(ISNUMBER(SEARCH("Fusion",$L113)), _xlfn.IFS(Z$24-$I113 &lt;=1, 9/10, Z$24-$I113 &lt;=10,(11-(Z$24-$I113))/10, Z$24-$I113 &gt;=11, 0),
_xlfn.IFS(Z$24-$I113 &lt;=1, 5/6, Z$24-$I113 &lt;=5, (7-(Z$24-$I113))/6, AND(Z$24-$I113 =6,NOT(_xlfn.IFNA(ISNUMBER(SEARCH("Rending",$L113)),FALSE))), (7-(Z$24-$I113))/6, AND(Z$24-$I113 &gt;=7,NOT(_xlfn.IFNA(ISNUMBER(SEARCH("Rending",$L113)),FALSE))), 0, Z$24-$I113 =7, (7-(Z$24-1-$I113))/6, Z$24-$I113 =8, (7-(Z$24-2-$I113))/6*2/3, Z$24-$I113 =9, (7-(Z$24-3-$I113))/6*1/3, TRUE, 0)) *
IF(ISNUMBER(SEARCH("Ordinance",$L113)),7/6,1) *
IF(OR(ISNUMBER(SEARCH("Melee",$L113)),ISNUMBER(SEARCH("Bypass",$L113))),1.5,1)</f>
        <v>1.1111111111111112</v>
      </c>
      <c r="AA113" s="17" cm="1">
        <f t="array" ref="AA113">$H113 *
IF(ISNUMBER(SEARCH("Rapid",$L113)),7/6,1) *
IF(OR(ISNUMBER(SEARCH("Beam",$L113)),ISNUMBER(SEARCH("Firestorm",$L113))),1, IF(ISNUMBER(SEARCH("Blast",$L113)),(4+$F113+(2-$F113)*0.5)/6*2,(4+$F113)/6)) *
IF(ISNUMBER(SEARCH("Fusion",$L113)), _xlfn.IFS(AA$24-$I113 &lt;=1, 9/10, AA$24-$I113 &lt;=10,(11-(AA$24-$I113))/10, AA$24-$I113 &gt;=11, 0),
_xlfn.IFS(AA$24-$I113 &lt;=1, 5/6, AA$24-$I113 &lt;=5, (7-(AA$24-$I113))/6, AND(AA$24-$I113 =6,NOT(_xlfn.IFNA(ISNUMBER(SEARCH("Rending",$L113)),FALSE))), (7-(AA$24-$I113))/6, AND(AA$24-$I113 &gt;=7,NOT(_xlfn.IFNA(ISNUMBER(SEARCH("Rending",$L113)),FALSE))), 0, AA$24-$I113 =7, (7-(AA$24-1-$I113))/6, AA$24-$I113 =8, (7-(AA$24-2-$I113))/6*2/3, AA$24-$I113 =9, (7-(AA$24-3-$I113))/6*1/3, TRUE, 0)) *
IF(ISNUMBER(SEARCH("Ordinance",$L113)),7/6,1) *
IF(OR(ISNUMBER(SEARCH("Melee",$L113)),ISNUMBER(SEARCH("Bypass",$L113))),1.5,1)</f>
        <v>1.1111111111111112</v>
      </c>
      <c r="AB113" s="17" cm="1">
        <f t="array" ref="AB113">$H113 *
IF(ISNUMBER(SEARCH("Rapid",$L113)),7/6,1) *
IF(OR(ISNUMBER(SEARCH("Beam",$L113)),ISNUMBER(SEARCH("Firestorm",$L113))),1, IF(ISNUMBER(SEARCH("Blast",$L113)),(4+$F113+(2-$F113)*0.5)/6*2,(4+$F113)/6)) *
IF(ISNUMBER(SEARCH("Fusion",$L113)), _xlfn.IFS(AB$24-$I113 &lt;=1, 9/10, AB$24-$I113 &lt;=10,(11-(AB$24-$I113))/10, AB$24-$I113 &gt;=11, 0),
_xlfn.IFS(AB$24-$I113 &lt;=1, 5/6, AB$24-$I113 &lt;=5, (7-(AB$24-$I113))/6, AND(AB$24-$I113 =6,NOT(_xlfn.IFNA(ISNUMBER(SEARCH("Rending",$L113)),FALSE))), (7-(AB$24-$I113))/6, AND(AB$24-$I113 &gt;=7,NOT(_xlfn.IFNA(ISNUMBER(SEARCH("Rending",$L113)),FALSE))), 0, AB$24-$I113 =7, (7-(AB$24-1-$I113))/6, AB$24-$I113 =8, (7-(AB$24-2-$I113))/6*2/3, AB$24-$I113 =9, (7-(AB$24-3-$I113))/6*1/3, TRUE, 0)) *
IF(ISNUMBER(SEARCH("Ordinance",$L113)),7/6,1) *
IF(OR(ISNUMBER(SEARCH("Melee",$L113)),ISNUMBER(SEARCH("Bypass",$L113))),1.5,1)</f>
        <v>0.88888888888888884</v>
      </c>
      <c r="AC113" s="17" cm="1">
        <f t="array" ref="AC113">$H113 *
IF(ISNUMBER(SEARCH("Rapid",$L113)),7/6,1) *
IF(OR(ISNUMBER(SEARCH("Beam",$L113)),ISNUMBER(SEARCH("Firestorm",$L113))),1, IF(ISNUMBER(SEARCH("Blast",$L113)),(4+$F113+(2-$F113)*0.5)/6*2,(4+$F113)/6)) *
IF(ISNUMBER(SEARCH("Fusion",$L113)), _xlfn.IFS(AC$24-$I113 &lt;=1, 9/10, AC$24-$I113 &lt;=10,(11-(AC$24-$I113))/10, AC$24-$I113 &gt;=11, 0),
_xlfn.IFS(AC$24-$I113 &lt;=1, 5/6, AC$24-$I113 &lt;=5, (7-(AC$24-$I113))/6, AND(AC$24-$I113 =6,NOT(_xlfn.IFNA(ISNUMBER(SEARCH("Rending",$L113)),FALSE))), (7-(AC$24-$I113))/6, AND(AC$24-$I113 &gt;=7,NOT(_xlfn.IFNA(ISNUMBER(SEARCH("Rending",$L113)),FALSE))), 0, AC$24-$I113 =7, (7-(AC$24-1-$I113))/6, AC$24-$I113 =8, (7-(AC$24-2-$I113))/6*2/3, AC$24-$I113 =9, (7-(AC$24-3-$I113))/6*1/3, TRUE, 0)) *
IF(ISNUMBER(SEARCH("Ordinance",$L113)),7/6,1) *
IF(OR(ISNUMBER(SEARCH("Melee",$L113)),ISNUMBER(SEARCH("Bypass",$L113))),1.5,1)</f>
        <v>0.66666666666666663</v>
      </c>
      <c r="AD113" s="17" cm="1">
        <f t="array" ref="AD113">$H113 *
IF(ISNUMBER(SEARCH("Rapid",$L113)),7/6,1) *
IF(OR(ISNUMBER(SEARCH("Beam",$L113)),ISNUMBER(SEARCH("Firestorm",$L113))),1, IF(ISNUMBER(SEARCH("Blast",$L113)),(4+$F113+(2-$F113)*0.5)/6*2,(4+$F113)/6)) *
IF(ISNUMBER(SEARCH("Fusion",$L113)), _xlfn.IFS(AD$24-$I113 &lt;=1, 9/10, AD$24-$I113 &lt;=10,(11-(AD$24-$I113))/10, AD$24-$I113 &gt;=11, 0),
_xlfn.IFS(AD$24-$I113 &lt;=1, 5/6, AD$24-$I113 &lt;=5, (7-(AD$24-$I113))/6, AND(AD$24-$I113 =6,NOT(_xlfn.IFNA(ISNUMBER(SEARCH("Rending",$L113)),FALSE))), (7-(AD$24-$I113))/6, AND(AD$24-$I113 &gt;=7,NOT(_xlfn.IFNA(ISNUMBER(SEARCH("Rending",$L113)),FALSE))), 0, AD$24-$I113 =7, (7-(AD$24-1-$I113))/6, AD$24-$I113 =8, (7-(AD$24-2-$I113))/6*2/3, AD$24-$I113 =9, (7-(AD$24-3-$I113))/6*1/3, TRUE, 0)) *
IF(ISNUMBER(SEARCH("Ordinance",$L113)),7/6,1) *
IF(OR(ISNUMBER(SEARCH("Melee",$L113)),ISNUMBER(SEARCH("Bypass",$L113))),1.5,1)</f>
        <v>0.44444444444444442</v>
      </c>
      <c r="AE113" s="17" cm="1">
        <f t="array" ref="AE113">$H113 *
IF(ISNUMBER(SEARCH("Rapid",$L113)),7/6,1) *
IF(OR(ISNUMBER(SEARCH("Beam",$L113)),ISNUMBER(SEARCH("Firestorm",$L113))),1, IF(ISNUMBER(SEARCH("Blast",$L113)),(4+$F113+(2-$F113)*0.5)/6*2,(4+$F113)/6)) *
IF(ISNUMBER(SEARCH("Fusion",$L113)), _xlfn.IFS(AE$24-$I113 &lt;=1, 9/10, AE$24-$I113 &lt;=10,(11-(AE$24-$I113))/10, AE$24-$I113 &gt;=11, 0),
_xlfn.IFS(AE$24-$I113 &lt;=1, 5/6, AE$24-$I113 &lt;=5, (7-(AE$24-$I113))/6, AND(AE$24-$I113 =6,NOT(_xlfn.IFNA(ISNUMBER(SEARCH("Rending",$L113)),FALSE))), (7-(AE$24-$I113))/6, AND(AE$24-$I113 &gt;=7,NOT(_xlfn.IFNA(ISNUMBER(SEARCH("Rending",$L113)),FALSE))), 0, AE$24-$I113 =7, (7-(AE$24-1-$I113))/6, AE$24-$I113 =8, (7-(AE$24-2-$I113))/6*2/3, AE$24-$I113 =9, (7-(AE$24-3-$I113))/6*1/3, TRUE, 0)) *
IF(ISNUMBER(SEARCH("Ordinance",$L113)),7/6,1) *
IF(OR(ISNUMBER(SEARCH("Melee",$L113)),ISNUMBER(SEARCH("Bypass",$L113))),1.5,1)</f>
        <v>0</v>
      </c>
      <c r="AF113" s="17" cm="1">
        <f t="array" ref="AF113">$H113 *
IF(ISNUMBER(SEARCH("Rapid",$L113)),7/6,1) *
IF(OR(ISNUMBER(SEARCH("Beam",$L113)),ISNUMBER(SEARCH("Firestorm",$L113))),1, IF(ISNUMBER(SEARCH("Blast",$L113)),(4+$F113+(2-$F113)*0.5)/6*2,(4+$F113)/6)) *
IF(ISNUMBER(SEARCH("Fusion",$L113)), _xlfn.IFS(AF$24-$I113 &lt;=1, 9/10, AF$24-$I113 &lt;=10,(11-(AF$24-$I113))/10, AF$24-$I113 &gt;=11, 0),
_xlfn.IFS(AF$24-$I113 &lt;=1, 5/6, AF$24-$I113 &lt;=5, (7-(AF$24-$I113))/6, AND(AF$24-$I113 =6,NOT(_xlfn.IFNA(ISNUMBER(SEARCH("Rending",$L113)),FALSE))), (7-(AF$24-$I113))/6, AND(AF$24-$I113 &gt;=7,NOT(_xlfn.IFNA(ISNUMBER(SEARCH("Rending",$L113)),FALSE))), 0, AF$24-$I113 =7, (7-(AF$24-1-$I113))/6, AF$24-$I113 =8, (7-(AF$24-2-$I113))/6*2/3, AF$24-$I113 =9, (7-(AF$24-3-$I113))/6*1/3, TRUE, 0)) *
IF(ISNUMBER(SEARCH("Ordinance",$L113)),7/6,1) *
IF(OR(ISNUMBER(SEARCH("Melee",$L113)),ISNUMBER(SEARCH("Bypass",$L113))),1.5,1)</f>
        <v>0.22222222222222221</v>
      </c>
      <c r="AG113" s="16">
        <f t="shared" si="22"/>
        <v>0.44444444444444442</v>
      </c>
      <c r="AH113" s="16">
        <f t="shared" si="23"/>
        <v>0.66666666666666663</v>
      </c>
      <c r="AI113" s="17" cm="1">
        <f t="array" ref="AI113">$H113 *
IF(ISNUMBER(SEARCH("Rapid",$L113)),7/6,1) *
IF(OR(ISNUMBER(SEARCH("Beam",$L113)),ISNUMBER(SEARCH("Firestorm",$L113))),1, IF(ISNUMBER(SEARCH("Blast",$L113)),(4+$G113+(2-$G113)*0.5)/6*2,(4+$G113)/6)) *
_xlfn.IFS(AI$24-$I113 &lt;=1, 5/6, AI$24-$I113 &lt;=5, (7-(AI$24-$I113))/6, AND(AI$24-$I113 =6,NOT(_xlfn.IFNA(ISNUMBER(SEARCH("Rending",$L113)),FALSE))), (7-(AI$24-$I113))/6, AND(AI$24-$I113 &gt;=7,NOT(_xlfn.IFNA(ISNUMBER(SEARCH("Rending",$L113)),FALSE))), 0, AI$24-$I113 =7, (7-(AI$24-1-$I113))/6, AI$24-$I113 =8, (7-(AI$24-2-$I113))/6*2/3, AI$24-$I113 =9, (7-(AI$24-3-$I113))/6*1/3, TRUE, 0) *
IF(ISNUMBER(SEARCH("Ordinance",$L113)),7/6,1) *
IF(OR(ISNUMBER(SEARCH("Melee",$L113)),ISNUMBER(SEARCH("Bypass",$L113))),1.5,1)</f>
        <v>1.1111111111111112</v>
      </c>
      <c r="AJ113" s="17" cm="1">
        <f t="array" ref="AJ113">$H113 *
IF(ISNUMBER(SEARCH("Rapid",$L113)),7/6,1) *
IF(OR(ISNUMBER(SEARCH("Beam",$L113)),ISNUMBER(SEARCH("Firestorm",$L113))),1, IF(ISNUMBER(SEARCH("Blast",$L113)),(4+$G113+(2-$G113)*0.5)/6*2,(4+$G113)/6)) *
_xlfn.IFS(AJ$24-$I113 &lt;=1, 5/6, AJ$24-$I113 &lt;=5, (7-(AJ$24-$I113))/6, AND(AJ$24-$I113 =6,NOT(_xlfn.IFNA(ISNUMBER(SEARCH("Rending",$L113)),FALSE))), (7-(AJ$24-$I113))/6, AND(AJ$24-$I113 &gt;=7,NOT(_xlfn.IFNA(ISNUMBER(SEARCH("Rending",$L113)),FALSE))), 0, AJ$24-$I113 =7, (7-(AJ$24-1-$I113))/6, AJ$24-$I113 =8, (7-(AJ$24-2-$I113))/6*2/3, AJ$24-$I113 =9, (7-(AJ$24-3-$I113))/6*1/3, TRUE, 0) *
IF(ISNUMBER(SEARCH("Ordinance",$L113)),7/6,1) *
IF(OR(ISNUMBER(SEARCH("Melee",$L113)),ISNUMBER(SEARCH("Bypass",$L113))),1.5,1)</f>
        <v>1.1111111111111112</v>
      </c>
      <c r="AK113" s="17" cm="1">
        <f t="array" ref="AK113">$H113 *
IF(ISNUMBER(SEARCH("Rapid",$L113)),7/6,1) *
IF(OR(ISNUMBER(SEARCH("Beam",$L113)),ISNUMBER(SEARCH("Firestorm",$L113))),1, IF(ISNUMBER(SEARCH("Blast",$L113)),(4+$G113+(2-$G113)*0.5)/6*2,(4+$G113)/6)) *
_xlfn.IFS(AK$24-$I113 &lt;=1, 5/6, AK$24-$I113 &lt;=5, (7-(AK$24-$I113))/6, AND(AK$24-$I113 =6,NOT(_xlfn.IFNA(ISNUMBER(SEARCH("Rending",$L113)),FALSE))), (7-(AK$24-$I113))/6, AND(AK$24-$I113 &gt;=7,NOT(_xlfn.IFNA(ISNUMBER(SEARCH("Rending",$L113)),FALSE))), 0, AK$24-$I113 =7, (7-(AK$24-1-$I113))/6, AK$24-$I113 =8, (7-(AK$24-2-$I113))/6*2/3, AK$24-$I113 =9, (7-(AK$24-3-$I113))/6*1/3, TRUE, 0) *
IF(ISNUMBER(SEARCH("Ordinance",$L113)),7/6,1) *
IF(OR(ISNUMBER(SEARCH("Melee",$L113)),ISNUMBER(SEARCH("Bypass",$L113))),1.5,1)</f>
        <v>1.1111111111111112</v>
      </c>
      <c r="AL113" s="17" cm="1">
        <f t="array" ref="AL113">$H113 *
IF(ISNUMBER(SEARCH("Rapid",$L113)),7/6,1) *
IF(OR(ISNUMBER(SEARCH("Beam",$L113)),ISNUMBER(SEARCH("Firestorm",$L113))),1, IF(ISNUMBER(SEARCH("Blast",$L113)),(4+$G113+(2-$G113)*0.5)/6*2,(4+$G113)/6)) *
_xlfn.IFS(AL$24-$I113 &lt;=1, 5/6, AL$24-$I113 &lt;=5, (7-(AL$24-$I113))/6, AND(AL$24-$I113 =6,NOT(_xlfn.IFNA(ISNUMBER(SEARCH("Rending",$L113)),FALSE))), (7-(AL$24-$I113))/6, AND(AL$24-$I113 &gt;=7,NOT(_xlfn.IFNA(ISNUMBER(SEARCH("Rending",$L113)),FALSE))), 0, AL$24-$I113 =7, (7-(AL$24-1-$I113))/6, AL$24-$I113 =8, (7-(AL$24-2-$I113))/6*2/3, AL$24-$I113 =9, (7-(AL$24-3-$I113))/6*1/3, TRUE, 0) *
IF(ISNUMBER(SEARCH("Ordinance",$L113)),7/6,1) *
IF(OR(ISNUMBER(SEARCH("Melee",$L113)),ISNUMBER(SEARCH("Bypass",$L113))),1.5,1)</f>
        <v>1.1111111111111112</v>
      </c>
      <c r="AM113" s="17" cm="1">
        <f t="array" ref="AM113">$H113 *
IF(ISNUMBER(SEARCH("Rapid",$L113)),7/6,1) *
IF(OR(ISNUMBER(SEARCH("Beam",$L113)),ISNUMBER(SEARCH("Firestorm",$L113))),1, IF(ISNUMBER(SEARCH("Blast",$L113)),(4+$G113+(2-$G113)*0.5)/6*2,(4+$G113)/6)) *
_xlfn.IFS(AM$24-$I113 &lt;=1, 5/6, AM$24-$I113 &lt;=5, (7-(AM$24-$I113))/6, AND(AM$24-$I113 =6,NOT(_xlfn.IFNA(ISNUMBER(SEARCH("Rending",$L113)),FALSE))), (7-(AM$24-$I113))/6, AND(AM$24-$I113 &gt;=7,NOT(_xlfn.IFNA(ISNUMBER(SEARCH("Rending",$L113)),FALSE))), 0, AM$24-$I113 =7, (7-(AM$24-1-$I113))/6, AM$24-$I113 =8, (7-(AM$24-2-$I113))/6*2/3, AM$24-$I113 =9, (7-(AM$24-3-$I113))/6*1/3, TRUE, 0) *
IF(ISNUMBER(SEARCH("Ordinance",$L113)),7/6,1) *
IF(OR(ISNUMBER(SEARCH("Melee",$L113)),ISNUMBER(SEARCH("Bypass",$L113))),1.5,1)</f>
        <v>0.88888888888888884</v>
      </c>
      <c r="AN113" s="17" cm="1">
        <f t="array" ref="AN113">$H113 *
IF(ISNUMBER(SEARCH("Rapid",$L113)),7/6,1) *
IF(OR(ISNUMBER(SEARCH("Beam",$L113)),ISNUMBER(SEARCH("Firestorm",$L113))),1, IF(ISNUMBER(SEARCH("Blast",$L113)),(4+$G113+(2-$G113)*0.5)/6*2,(4+$G113)/6)) *
_xlfn.IFS(AN$24-$I113 &lt;=1, 5/6, AN$24-$I113 &lt;=5, (7-(AN$24-$I113))/6, AND(AN$24-$I113 =6,NOT(_xlfn.IFNA(ISNUMBER(SEARCH("Rending",$L113)),FALSE))), (7-(AN$24-$I113))/6, AND(AN$24-$I113 &gt;=7,NOT(_xlfn.IFNA(ISNUMBER(SEARCH("Rending",$L113)),FALSE))), 0, AN$24-$I113 =7, (7-(AN$24-1-$I113))/6, AN$24-$I113 =8, (7-(AN$24-2-$I113))/6*2/3, AN$24-$I113 =9, (7-(AN$24-3-$I113))/6*1/3, TRUE, 0) *
IF(ISNUMBER(SEARCH("Ordinance",$L113)),7/6,1) *
IF(OR(ISNUMBER(SEARCH("Melee",$L113)),ISNUMBER(SEARCH("Bypass",$L113))),1.5,1)</f>
        <v>0.66666666666666663</v>
      </c>
      <c r="AO113" s="17" cm="1">
        <f t="array" ref="AO113">$H113 *
IF(ISNUMBER(SEARCH("Rapid",$L113)),7/6,1) *
IF(OR(ISNUMBER(SEARCH("Beam",$L113)),ISNUMBER(SEARCH("Firestorm",$L113))),1, IF(ISNUMBER(SEARCH("Blast",$L113)),(4+$G113+(2-$G113)*0.5)/6*2,(4+$G113)/6)) *
_xlfn.IFS(AO$24-$I113 &lt;=1, 5/6, AO$24-$I113 &lt;=5, (7-(AO$24-$I113))/6, AND(AO$24-$I113 =6,NOT(_xlfn.IFNA(ISNUMBER(SEARCH("Rending",$L113)),FALSE))), (7-(AO$24-$I113))/6, AND(AO$24-$I113 &gt;=7,NOT(_xlfn.IFNA(ISNUMBER(SEARCH("Rending",$L113)),FALSE))), 0, AO$24-$I113 =7, (7-(AO$24-1-$I113))/6, AO$24-$I113 =8, (7-(AO$24-2-$I113))/6*2/3, AO$24-$I113 =9, (7-(AO$24-3-$I113))/6*1/3, TRUE, 0) *
IF(ISNUMBER(SEARCH("Ordinance",$L113)),7/6,1) *
IF(OR(ISNUMBER(SEARCH("Melee",$L113)),ISNUMBER(SEARCH("Bypass",$L113))),1.5,1)</f>
        <v>0.44444444444444442</v>
      </c>
      <c r="AP113" s="17" cm="1">
        <f t="array" ref="AP113">$H113 *
IF(ISNUMBER(SEARCH("Rapid",$L113)),7/6,1) *
IF(OR(ISNUMBER(SEARCH("Beam",$L113)),ISNUMBER(SEARCH("Firestorm",$L113))),1, IF(ISNUMBER(SEARCH("Blast",$L113)),(4+$G113+(2-$G113)*0.5)/6*2,(4+$G113)/6)) *
_xlfn.IFS(AP$24-$I113 &lt;=1, 5/6, AP$24-$I113 &lt;=5, (7-(AP$24-$I113))/6, AND(AP$24-$I113 =6,NOT(_xlfn.IFNA(ISNUMBER(SEARCH("Rending",$L113)),FALSE))), (7-(AP$24-$I113))/6, AND(AP$24-$I113 &gt;=7,NOT(_xlfn.IFNA(ISNUMBER(SEARCH("Rending",$L113)),FALSE))), 0, AP$24-$I113 =7, (7-(AP$24-1-$I113))/6, AP$24-$I113 =8, (7-(AP$24-2-$I113))/6*2/3, AP$24-$I113 =9, (7-(AP$24-3-$I113))/6*1/3, TRUE, 0) *
IF(ISNUMBER(SEARCH("Ordinance",$L113)),7/6,1) *
IF(OR(ISNUMBER(SEARCH("Melee",$L113)),ISNUMBER(SEARCH("Bypass",$L113))),1.5,1)</f>
        <v>0</v>
      </c>
      <c r="AQ113" s="17" cm="1">
        <f t="array" ref="AQ113">$H113 *
IF(ISNUMBER(SEARCH("Rapid",$L113)),7/6,1) *
IF(OR(ISNUMBER(SEARCH("Beam",$L113)),ISNUMBER(SEARCH("Firestorm",$L113))),1, IF(ISNUMBER(SEARCH("Blast",$L113)),(4+$G113+(2-$G113)*0.5)/6*2,(4+$G113)/6)) *
_xlfn.IFS(AQ$24-$I113 &lt;=1, 5/6, AQ$24-$I113 &lt;=5, (7-(AQ$24-$I113))/6, AND(AQ$24-$I113 =6,NOT(_xlfn.IFNA(ISNUMBER(SEARCH("Rending",$L113)),FALSE))), (7-(AQ$24-$I113))/6, AND(AQ$24-$I113 &gt;=7,NOT(_xlfn.IFNA(ISNUMBER(SEARCH("Rending",$L113)),FALSE))), 0, AQ$24-$I113 =7, (7-(AQ$24-1-$I113))/6, AQ$24-$I113 =8, (7-(AQ$24-2-$I113))/6*2/3, AQ$24-$I113 =9, (7-(AQ$24-3-$I113))/6*1/3, TRUE, 0) *
IF(ISNUMBER(SEARCH("Ordinance",$L113)),7/6,1) *
IF(OR(ISNUMBER(SEARCH("Melee",$L113)),ISNUMBER(SEARCH("Bypass",$L113))),1.5,1)</f>
        <v>0.22222222222222221</v>
      </c>
      <c r="AS113" s="16">
        <f t="shared" ref="AS113:AT116" si="29">IF($E113=1,AG113*3,IF($E113=2,2*AG113,1.1*AG113))/3</f>
        <v>0.29629629629629628</v>
      </c>
      <c r="AT113" s="16">
        <f t="shared" si="29"/>
        <v>0.44444444444444442</v>
      </c>
      <c r="AU113" s="16">
        <f>IF(D113+E113=3,
 IF(E113=3, 2.5*AI113,
  IF(E113=2, 1.8*AI113+0.7*X113,
   IF(E113=1, 0.95*AI113+1.55*X113,
    2.5*X113))),
 IF(D113+E113=2,
  IF(E113=2, 1.55*AI113,
   IF(E113 =1, 0.85*AI113+0.7*X113,
    1.55*X113)),
  IF(E113=1, 0.95*AI113,
   0.7*X113))
)/3</f>
        <v>0.92592592592592593</v>
      </c>
      <c r="AV113" s="2">
        <v>12</v>
      </c>
    </row>
    <row r="114" spans="1:48" x14ac:dyDescent="0.3">
      <c r="A114" t="s">
        <v>785</v>
      </c>
      <c r="B114" s="46">
        <v>25</v>
      </c>
      <c r="C114" s="46">
        <v>50</v>
      </c>
      <c r="D114" s="46"/>
      <c r="E114" s="46">
        <v>3</v>
      </c>
      <c r="F114" s="10"/>
      <c r="G114" s="10"/>
      <c r="H114" s="3">
        <v>2</v>
      </c>
      <c r="I114" s="3">
        <v>12</v>
      </c>
      <c r="J114" s="3" t="s">
        <v>248</v>
      </c>
      <c r="K114" s="46">
        <v>60</v>
      </c>
      <c r="L114" s="3" t="s">
        <v>788</v>
      </c>
      <c r="M114" s="3" t="s">
        <v>199</v>
      </c>
      <c r="N114" s="3">
        <v>11</v>
      </c>
      <c r="O114" s="3">
        <v>11</v>
      </c>
      <c r="P114" s="3">
        <v>15</v>
      </c>
      <c r="Q114" s="3" t="s">
        <v>200</v>
      </c>
      <c r="R114" s="3">
        <v>7</v>
      </c>
      <c r="S114" s="3">
        <v>9</v>
      </c>
      <c r="T114" s="46">
        <v>4</v>
      </c>
      <c r="V114" s="16">
        <f t="shared" si="20"/>
        <v>0.44444444444444442</v>
      </c>
      <c r="W114" s="16">
        <f t="shared" si="21"/>
        <v>0.66666666666666663</v>
      </c>
      <c r="X114" s="17" cm="1">
        <f t="array" ref="X114">$H114 *
IF(ISNUMBER(SEARCH("Rapid",$L114)),7/6,1) *
IF(OR(ISNUMBER(SEARCH("Beam",$L114)),ISNUMBER(SEARCH("Firestorm",$L114))),1, IF(ISNUMBER(SEARCH("Blast",$L114)),(4+$F114+(2-$F114)*0.5)/6*2,(4+$F114)/6)) *
IF(ISNUMBER(SEARCH("Fusion",$L114)), _xlfn.IFS(X$24-$I114 &lt;=1, 9/10, X$24-$I114 &lt;=10,(11-(X$24-$I114))/10, X$24-$I114 &gt;=11, 0),
_xlfn.IFS(X$24-$I114 &lt;=1, 5/6, X$24-$I114 &lt;=5, (7-(X$24-$I114))/6, AND(X$24-$I114 =6,NOT(_xlfn.IFNA(ISNUMBER(SEARCH("Rending",$L114)),FALSE))), (7-(X$24-$I114))/6, AND(X$24-$I114 &gt;=7,NOT(_xlfn.IFNA(ISNUMBER(SEARCH("Rending",$L114)),FALSE))), 0, X$24-$I114 =7, (7-(X$24-1-$I114))/6, X$24-$I114 =8, (7-(X$24-2-$I114))/6*2/3, X$24-$I114 =9, (7-(X$24-3-$I114))/6*1/3, TRUE, 0)) *
IF(ISNUMBER(SEARCH("Ordinance",$L114)),7/6,1) *
IF(OR(ISNUMBER(SEARCH("Melee",$L114)),ISNUMBER(SEARCH("Bypass",$L114))),1.5,1)</f>
        <v>1.1111111111111112</v>
      </c>
      <c r="Y114" s="17" cm="1">
        <f t="array" ref="Y114">$H114 *
IF(ISNUMBER(SEARCH("Rapid",$L114)),7/6,1) *
IF(OR(ISNUMBER(SEARCH("Beam",$L114)),ISNUMBER(SEARCH("Firestorm",$L114))),1, IF(ISNUMBER(SEARCH("Blast",$L114)),(4+$F114+(2-$F114)*0.5)/6*2,(4+$F114)/6)) *
IF(ISNUMBER(SEARCH("Fusion",$L114)), _xlfn.IFS(Y$24-$I114 &lt;=1, 9/10, Y$24-$I114 &lt;=10,(11-(Y$24-$I114))/10, Y$24-$I114 &gt;=11, 0),
_xlfn.IFS(Y$24-$I114 &lt;=1, 5/6, Y$24-$I114 &lt;=5, (7-(Y$24-$I114))/6, AND(Y$24-$I114 =6,NOT(_xlfn.IFNA(ISNUMBER(SEARCH("Rending",$L114)),FALSE))), (7-(Y$24-$I114))/6, AND(Y$24-$I114 &gt;=7,NOT(_xlfn.IFNA(ISNUMBER(SEARCH("Rending",$L114)),FALSE))), 0, Y$24-$I114 =7, (7-(Y$24-1-$I114))/6, Y$24-$I114 =8, (7-(Y$24-2-$I114))/6*2/3, Y$24-$I114 =9, (7-(Y$24-3-$I114))/6*1/3, TRUE, 0)) *
IF(ISNUMBER(SEARCH("Ordinance",$L114)),7/6,1) *
IF(OR(ISNUMBER(SEARCH("Melee",$L114)),ISNUMBER(SEARCH("Bypass",$L114))),1.5,1)</f>
        <v>1.1111111111111112</v>
      </c>
      <c r="Z114" s="17" cm="1">
        <f t="array" ref="Z114">$H114 *
IF(ISNUMBER(SEARCH("Rapid",$L114)),7/6,1) *
IF(OR(ISNUMBER(SEARCH("Beam",$L114)),ISNUMBER(SEARCH("Firestorm",$L114))),1, IF(ISNUMBER(SEARCH("Blast",$L114)),(4+$F114+(2-$F114)*0.5)/6*2,(4+$F114)/6)) *
IF(ISNUMBER(SEARCH("Fusion",$L114)), _xlfn.IFS(Z$24-$I114 &lt;=1, 9/10, Z$24-$I114 &lt;=10,(11-(Z$24-$I114))/10, Z$24-$I114 &gt;=11, 0),
_xlfn.IFS(Z$24-$I114 &lt;=1, 5/6, Z$24-$I114 &lt;=5, (7-(Z$24-$I114))/6, AND(Z$24-$I114 =6,NOT(_xlfn.IFNA(ISNUMBER(SEARCH("Rending",$L114)),FALSE))), (7-(Z$24-$I114))/6, AND(Z$24-$I114 &gt;=7,NOT(_xlfn.IFNA(ISNUMBER(SEARCH("Rending",$L114)),FALSE))), 0, Z$24-$I114 =7, (7-(Z$24-1-$I114))/6, Z$24-$I114 =8, (7-(Z$24-2-$I114))/6*2/3, Z$24-$I114 =9, (7-(Z$24-3-$I114))/6*1/3, TRUE, 0)) *
IF(ISNUMBER(SEARCH("Ordinance",$L114)),7/6,1) *
IF(OR(ISNUMBER(SEARCH("Melee",$L114)),ISNUMBER(SEARCH("Bypass",$L114))),1.5,1)</f>
        <v>1.1111111111111112</v>
      </c>
      <c r="AA114" s="17" cm="1">
        <f t="array" ref="AA114">$H114 *
IF(ISNUMBER(SEARCH("Rapid",$L114)),7/6,1) *
IF(OR(ISNUMBER(SEARCH("Beam",$L114)),ISNUMBER(SEARCH("Firestorm",$L114))),1, IF(ISNUMBER(SEARCH("Blast",$L114)),(4+$F114+(2-$F114)*0.5)/6*2,(4+$F114)/6)) *
IF(ISNUMBER(SEARCH("Fusion",$L114)), _xlfn.IFS(AA$24-$I114 &lt;=1, 9/10, AA$24-$I114 &lt;=10,(11-(AA$24-$I114))/10, AA$24-$I114 &gt;=11, 0),
_xlfn.IFS(AA$24-$I114 &lt;=1, 5/6, AA$24-$I114 &lt;=5, (7-(AA$24-$I114))/6, AND(AA$24-$I114 =6,NOT(_xlfn.IFNA(ISNUMBER(SEARCH("Rending",$L114)),FALSE))), (7-(AA$24-$I114))/6, AND(AA$24-$I114 &gt;=7,NOT(_xlfn.IFNA(ISNUMBER(SEARCH("Rending",$L114)),FALSE))), 0, AA$24-$I114 =7, (7-(AA$24-1-$I114))/6, AA$24-$I114 =8, (7-(AA$24-2-$I114))/6*2/3, AA$24-$I114 =9, (7-(AA$24-3-$I114))/6*1/3, TRUE, 0)) *
IF(ISNUMBER(SEARCH("Ordinance",$L114)),7/6,1) *
IF(OR(ISNUMBER(SEARCH("Melee",$L114)),ISNUMBER(SEARCH("Bypass",$L114))),1.5,1)</f>
        <v>1.1111111111111112</v>
      </c>
      <c r="AB114" s="17" cm="1">
        <f t="array" ref="AB114">$H114 *
IF(ISNUMBER(SEARCH("Rapid",$L114)),7/6,1) *
IF(OR(ISNUMBER(SEARCH("Beam",$L114)),ISNUMBER(SEARCH("Firestorm",$L114))),1, IF(ISNUMBER(SEARCH("Blast",$L114)),(4+$F114+(2-$F114)*0.5)/6*2,(4+$F114)/6)) *
IF(ISNUMBER(SEARCH("Fusion",$L114)), _xlfn.IFS(AB$24-$I114 &lt;=1, 9/10, AB$24-$I114 &lt;=10,(11-(AB$24-$I114))/10, AB$24-$I114 &gt;=11, 0),
_xlfn.IFS(AB$24-$I114 &lt;=1, 5/6, AB$24-$I114 &lt;=5, (7-(AB$24-$I114))/6, AND(AB$24-$I114 =6,NOT(_xlfn.IFNA(ISNUMBER(SEARCH("Rending",$L114)),FALSE))), (7-(AB$24-$I114))/6, AND(AB$24-$I114 &gt;=7,NOT(_xlfn.IFNA(ISNUMBER(SEARCH("Rending",$L114)),FALSE))), 0, AB$24-$I114 =7, (7-(AB$24-1-$I114))/6, AB$24-$I114 =8, (7-(AB$24-2-$I114))/6*2/3, AB$24-$I114 =9, (7-(AB$24-3-$I114))/6*1/3, TRUE, 0)) *
IF(ISNUMBER(SEARCH("Ordinance",$L114)),7/6,1) *
IF(OR(ISNUMBER(SEARCH("Melee",$L114)),ISNUMBER(SEARCH("Bypass",$L114))),1.5,1)</f>
        <v>1.1111111111111112</v>
      </c>
      <c r="AC114" s="17" cm="1">
        <f t="array" ref="AC114">$H114 *
IF(ISNUMBER(SEARCH("Rapid",$L114)),7/6,1) *
IF(OR(ISNUMBER(SEARCH("Beam",$L114)),ISNUMBER(SEARCH("Firestorm",$L114))),1, IF(ISNUMBER(SEARCH("Blast",$L114)),(4+$F114+(2-$F114)*0.5)/6*2,(4+$F114)/6)) *
IF(ISNUMBER(SEARCH("Fusion",$L114)), _xlfn.IFS(AC$24-$I114 &lt;=1, 9/10, AC$24-$I114 &lt;=10,(11-(AC$24-$I114))/10, AC$24-$I114 &gt;=11, 0),
_xlfn.IFS(AC$24-$I114 &lt;=1, 5/6, AC$24-$I114 &lt;=5, (7-(AC$24-$I114))/6, AND(AC$24-$I114 =6,NOT(_xlfn.IFNA(ISNUMBER(SEARCH("Rending",$L114)),FALSE))), (7-(AC$24-$I114))/6, AND(AC$24-$I114 &gt;=7,NOT(_xlfn.IFNA(ISNUMBER(SEARCH("Rending",$L114)),FALSE))), 0, AC$24-$I114 =7, (7-(AC$24-1-$I114))/6, AC$24-$I114 =8, (7-(AC$24-2-$I114))/6*2/3, AC$24-$I114 =9, (7-(AC$24-3-$I114))/6*1/3, TRUE, 0)) *
IF(ISNUMBER(SEARCH("Ordinance",$L114)),7/6,1) *
IF(OR(ISNUMBER(SEARCH("Melee",$L114)),ISNUMBER(SEARCH("Bypass",$L114))),1.5,1)</f>
        <v>1.1111111111111112</v>
      </c>
      <c r="AD114" s="17" cm="1">
        <f t="array" ref="AD114">$H114 *
IF(ISNUMBER(SEARCH("Rapid",$L114)),7/6,1) *
IF(OR(ISNUMBER(SEARCH("Beam",$L114)),ISNUMBER(SEARCH("Firestorm",$L114))),1, IF(ISNUMBER(SEARCH("Blast",$L114)),(4+$F114+(2-$F114)*0.5)/6*2,(4+$F114)/6)) *
IF(ISNUMBER(SEARCH("Fusion",$L114)), _xlfn.IFS(AD$24-$I114 &lt;=1, 9/10, AD$24-$I114 &lt;=10,(11-(AD$24-$I114))/10, AD$24-$I114 &gt;=11, 0),
_xlfn.IFS(AD$24-$I114 &lt;=1, 5/6, AD$24-$I114 &lt;=5, (7-(AD$24-$I114))/6, AND(AD$24-$I114 =6,NOT(_xlfn.IFNA(ISNUMBER(SEARCH("Rending",$L114)),FALSE))), (7-(AD$24-$I114))/6, AND(AD$24-$I114 &gt;=7,NOT(_xlfn.IFNA(ISNUMBER(SEARCH("Rending",$L114)),FALSE))), 0, AD$24-$I114 =7, (7-(AD$24-1-$I114))/6, AD$24-$I114 =8, (7-(AD$24-2-$I114))/6*2/3, AD$24-$I114 =9, (7-(AD$24-3-$I114))/6*1/3, TRUE, 0)) *
IF(ISNUMBER(SEARCH("Ordinance",$L114)),7/6,1) *
IF(OR(ISNUMBER(SEARCH("Melee",$L114)),ISNUMBER(SEARCH("Bypass",$L114))),1.5,1)</f>
        <v>0.88888888888888884</v>
      </c>
      <c r="AE114" s="17" cm="1">
        <f t="array" ref="AE114">$H114 *
IF(ISNUMBER(SEARCH("Rapid",$L114)),7/6,1) *
IF(OR(ISNUMBER(SEARCH("Beam",$L114)),ISNUMBER(SEARCH("Firestorm",$L114))),1, IF(ISNUMBER(SEARCH("Blast",$L114)),(4+$F114+(2-$F114)*0.5)/6*2,(4+$F114)/6)) *
IF(ISNUMBER(SEARCH("Fusion",$L114)), _xlfn.IFS(AE$24-$I114 &lt;=1, 9/10, AE$24-$I114 &lt;=10,(11-(AE$24-$I114))/10, AE$24-$I114 &gt;=11, 0),
_xlfn.IFS(AE$24-$I114 &lt;=1, 5/6, AE$24-$I114 &lt;=5, (7-(AE$24-$I114))/6, AND(AE$24-$I114 =6,NOT(_xlfn.IFNA(ISNUMBER(SEARCH("Rending",$L114)),FALSE))), (7-(AE$24-$I114))/6, AND(AE$24-$I114 &gt;=7,NOT(_xlfn.IFNA(ISNUMBER(SEARCH("Rending",$L114)),FALSE))), 0, AE$24-$I114 =7, (7-(AE$24-1-$I114))/6, AE$24-$I114 =8, (7-(AE$24-2-$I114))/6*2/3, AE$24-$I114 =9, (7-(AE$24-3-$I114))/6*1/3, TRUE, 0)) *
IF(ISNUMBER(SEARCH("Ordinance",$L114)),7/6,1) *
IF(OR(ISNUMBER(SEARCH("Melee",$L114)),ISNUMBER(SEARCH("Bypass",$L114))),1.5,1)</f>
        <v>0.66666666666666663</v>
      </c>
      <c r="AF114" s="17" cm="1">
        <f t="array" ref="AF114">$H114 *
IF(ISNUMBER(SEARCH("Rapid",$L114)),7/6,1) *
IF(OR(ISNUMBER(SEARCH("Beam",$L114)),ISNUMBER(SEARCH("Firestorm",$L114))),1, IF(ISNUMBER(SEARCH("Blast",$L114)),(4+$F114+(2-$F114)*0.5)/6*2,(4+$F114)/6)) *
IF(ISNUMBER(SEARCH("Fusion",$L114)), _xlfn.IFS(AF$24-$I114 &lt;=1, 9/10, AF$24-$I114 &lt;=10,(11-(AF$24-$I114))/10, AF$24-$I114 &gt;=11, 0),
_xlfn.IFS(AF$24-$I114 &lt;=1, 5/6, AF$24-$I114 &lt;=5, (7-(AF$24-$I114))/6, AND(AF$24-$I114 =6,NOT(_xlfn.IFNA(ISNUMBER(SEARCH("Rending",$L114)),FALSE))), (7-(AF$24-$I114))/6, AND(AF$24-$I114 &gt;=7,NOT(_xlfn.IFNA(ISNUMBER(SEARCH("Rending",$L114)),FALSE))), 0, AF$24-$I114 =7, (7-(AF$24-1-$I114))/6, AF$24-$I114 =8, (7-(AF$24-2-$I114))/6*2/3, AF$24-$I114 =9, (7-(AF$24-3-$I114))/6*1/3, TRUE, 0)) *
IF(ISNUMBER(SEARCH("Ordinance",$L114)),7/6,1) *
IF(OR(ISNUMBER(SEARCH("Melee",$L114)),ISNUMBER(SEARCH("Bypass",$L114))),1.5,1)</f>
        <v>0.44444444444444442</v>
      </c>
      <c r="AG114" s="16">
        <f t="shared" si="22"/>
        <v>0.44444444444444442</v>
      </c>
      <c r="AH114" s="16">
        <f t="shared" si="23"/>
        <v>0.66666666666666663</v>
      </c>
      <c r="AI114" s="17" cm="1">
        <f t="array" ref="AI114">$H114 *
IF(ISNUMBER(SEARCH("Rapid",$L114)),7/6,1) *
IF(OR(ISNUMBER(SEARCH("Beam",$L114)),ISNUMBER(SEARCH("Firestorm",$L114))),1, IF(ISNUMBER(SEARCH("Blast",$L114)),(4+$G114+(2-$G114)*0.5)/6*2,(4+$G114)/6)) *
_xlfn.IFS(AI$24-$I114 &lt;=1, 5/6, AI$24-$I114 &lt;=5, (7-(AI$24-$I114))/6, AND(AI$24-$I114 =6,NOT(_xlfn.IFNA(ISNUMBER(SEARCH("Rending",$L114)),FALSE))), (7-(AI$24-$I114))/6, AND(AI$24-$I114 &gt;=7,NOT(_xlfn.IFNA(ISNUMBER(SEARCH("Rending",$L114)),FALSE))), 0, AI$24-$I114 =7, (7-(AI$24-1-$I114))/6, AI$24-$I114 =8, (7-(AI$24-2-$I114))/6*2/3, AI$24-$I114 =9, (7-(AI$24-3-$I114))/6*1/3, TRUE, 0) *
IF(ISNUMBER(SEARCH("Ordinance",$L114)),7/6,1) *
IF(OR(ISNUMBER(SEARCH("Melee",$L114)),ISNUMBER(SEARCH("Bypass",$L114))),1.5,1)</f>
        <v>1.1111111111111112</v>
      </c>
      <c r="AJ114" s="17" cm="1">
        <f t="array" ref="AJ114">$H114 *
IF(ISNUMBER(SEARCH("Rapid",$L114)),7/6,1) *
IF(OR(ISNUMBER(SEARCH("Beam",$L114)),ISNUMBER(SEARCH("Firestorm",$L114))),1, IF(ISNUMBER(SEARCH("Blast",$L114)),(4+$G114+(2-$G114)*0.5)/6*2,(4+$G114)/6)) *
_xlfn.IFS(AJ$24-$I114 &lt;=1, 5/6, AJ$24-$I114 &lt;=5, (7-(AJ$24-$I114))/6, AND(AJ$24-$I114 =6,NOT(_xlfn.IFNA(ISNUMBER(SEARCH("Rending",$L114)),FALSE))), (7-(AJ$24-$I114))/6, AND(AJ$24-$I114 &gt;=7,NOT(_xlfn.IFNA(ISNUMBER(SEARCH("Rending",$L114)),FALSE))), 0, AJ$24-$I114 =7, (7-(AJ$24-1-$I114))/6, AJ$24-$I114 =8, (7-(AJ$24-2-$I114))/6*2/3, AJ$24-$I114 =9, (7-(AJ$24-3-$I114))/6*1/3, TRUE, 0) *
IF(ISNUMBER(SEARCH("Ordinance",$L114)),7/6,1) *
IF(OR(ISNUMBER(SEARCH("Melee",$L114)),ISNUMBER(SEARCH("Bypass",$L114))),1.5,1)</f>
        <v>1.1111111111111112</v>
      </c>
      <c r="AK114" s="17" cm="1">
        <f t="array" ref="AK114">$H114 *
IF(ISNUMBER(SEARCH("Rapid",$L114)),7/6,1) *
IF(OR(ISNUMBER(SEARCH("Beam",$L114)),ISNUMBER(SEARCH("Firestorm",$L114))),1, IF(ISNUMBER(SEARCH("Blast",$L114)),(4+$G114+(2-$G114)*0.5)/6*2,(4+$G114)/6)) *
_xlfn.IFS(AK$24-$I114 &lt;=1, 5/6, AK$24-$I114 &lt;=5, (7-(AK$24-$I114))/6, AND(AK$24-$I114 =6,NOT(_xlfn.IFNA(ISNUMBER(SEARCH("Rending",$L114)),FALSE))), (7-(AK$24-$I114))/6, AND(AK$24-$I114 &gt;=7,NOT(_xlfn.IFNA(ISNUMBER(SEARCH("Rending",$L114)),FALSE))), 0, AK$24-$I114 =7, (7-(AK$24-1-$I114))/6, AK$24-$I114 =8, (7-(AK$24-2-$I114))/6*2/3, AK$24-$I114 =9, (7-(AK$24-3-$I114))/6*1/3, TRUE, 0) *
IF(ISNUMBER(SEARCH("Ordinance",$L114)),7/6,1) *
IF(OR(ISNUMBER(SEARCH("Melee",$L114)),ISNUMBER(SEARCH("Bypass",$L114))),1.5,1)</f>
        <v>1.1111111111111112</v>
      </c>
      <c r="AL114" s="17" cm="1">
        <f t="array" ref="AL114">$H114 *
IF(ISNUMBER(SEARCH("Rapid",$L114)),7/6,1) *
IF(OR(ISNUMBER(SEARCH("Beam",$L114)),ISNUMBER(SEARCH("Firestorm",$L114))),1, IF(ISNUMBER(SEARCH("Blast",$L114)),(4+$G114+(2-$G114)*0.5)/6*2,(4+$G114)/6)) *
_xlfn.IFS(AL$24-$I114 &lt;=1, 5/6, AL$24-$I114 &lt;=5, (7-(AL$24-$I114))/6, AND(AL$24-$I114 =6,NOT(_xlfn.IFNA(ISNUMBER(SEARCH("Rending",$L114)),FALSE))), (7-(AL$24-$I114))/6, AND(AL$24-$I114 &gt;=7,NOT(_xlfn.IFNA(ISNUMBER(SEARCH("Rending",$L114)),FALSE))), 0, AL$24-$I114 =7, (7-(AL$24-1-$I114))/6, AL$24-$I114 =8, (7-(AL$24-2-$I114))/6*2/3, AL$24-$I114 =9, (7-(AL$24-3-$I114))/6*1/3, TRUE, 0) *
IF(ISNUMBER(SEARCH("Ordinance",$L114)),7/6,1) *
IF(OR(ISNUMBER(SEARCH("Melee",$L114)),ISNUMBER(SEARCH("Bypass",$L114))),1.5,1)</f>
        <v>1.1111111111111112</v>
      </c>
      <c r="AM114" s="17" cm="1">
        <f t="array" ref="AM114">$H114 *
IF(ISNUMBER(SEARCH("Rapid",$L114)),7/6,1) *
IF(OR(ISNUMBER(SEARCH("Beam",$L114)),ISNUMBER(SEARCH("Firestorm",$L114))),1, IF(ISNUMBER(SEARCH("Blast",$L114)),(4+$G114+(2-$G114)*0.5)/6*2,(4+$G114)/6)) *
_xlfn.IFS(AM$24-$I114 &lt;=1, 5/6, AM$24-$I114 &lt;=5, (7-(AM$24-$I114))/6, AND(AM$24-$I114 =6,NOT(_xlfn.IFNA(ISNUMBER(SEARCH("Rending",$L114)),FALSE))), (7-(AM$24-$I114))/6, AND(AM$24-$I114 &gt;=7,NOT(_xlfn.IFNA(ISNUMBER(SEARCH("Rending",$L114)),FALSE))), 0, AM$24-$I114 =7, (7-(AM$24-1-$I114))/6, AM$24-$I114 =8, (7-(AM$24-2-$I114))/6*2/3, AM$24-$I114 =9, (7-(AM$24-3-$I114))/6*1/3, TRUE, 0) *
IF(ISNUMBER(SEARCH("Ordinance",$L114)),7/6,1) *
IF(OR(ISNUMBER(SEARCH("Melee",$L114)),ISNUMBER(SEARCH("Bypass",$L114))),1.5,1)</f>
        <v>1.1111111111111112</v>
      </c>
      <c r="AN114" s="17" cm="1">
        <f t="array" ref="AN114">$H114 *
IF(ISNUMBER(SEARCH("Rapid",$L114)),7/6,1) *
IF(OR(ISNUMBER(SEARCH("Beam",$L114)),ISNUMBER(SEARCH("Firestorm",$L114))),1, IF(ISNUMBER(SEARCH("Blast",$L114)),(4+$G114+(2-$G114)*0.5)/6*2,(4+$G114)/6)) *
_xlfn.IFS(AN$24-$I114 &lt;=1, 5/6, AN$24-$I114 &lt;=5, (7-(AN$24-$I114))/6, AND(AN$24-$I114 =6,NOT(_xlfn.IFNA(ISNUMBER(SEARCH("Rending",$L114)),FALSE))), (7-(AN$24-$I114))/6, AND(AN$24-$I114 &gt;=7,NOT(_xlfn.IFNA(ISNUMBER(SEARCH("Rending",$L114)),FALSE))), 0, AN$24-$I114 =7, (7-(AN$24-1-$I114))/6, AN$24-$I114 =8, (7-(AN$24-2-$I114))/6*2/3, AN$24-$I114 =9, (7-(AN$24-3-$I114))/6*1/3, TRUE, 0) *
IF(ISNUMBER(SEARCH("Ordinance",$L114)),7/6,1) *
IF(OR(ISNUMBER(SEARCH("Melee",$L114)),ISNUMBER(SEARCH("Bypass",$L114))),1.5,1)</f>
        <v>1.1111111111111112</v>
      </c>
      <c r="AO114" s="17" cm="1">
        <f t="array" ref="AO114">$H114 *
IF(ISNUMBER(SEARCH("Rapid",$L114)),7/6,1) *
IF(OR(ISNUMBER(SEARCH("Beam",$L114)),ISNUMBER(SEARCH("Firestorm",$L114))),1, IF(ISNUMBER(SEARCH("Blast",$L114)),(4+$G114+(2-$G114)*0.5)/6*2,(4+$G114)/6)) *
_xlfn.IFS(AO$24-$I114 &lt;=1, 5/6, AO$24-$I114 &lt;=5, (7-(AO$24-$I114))/6, AND(AO$24-$I114 =6,NOT(_xlfn.IFNA(ISNUMBER(SEARCH("Rending",$L114)),FALSE))), (7-(AO$24-$I114))/6, AND(AO$24-$I114 &gt;=7,NOT(_xlfn.IFNA(ISNUMBER(SEARCH("Rending",$L114)),FALSE))), 0, AO$24-$I114 =7, (7-(AO$24-1-$I114))/6, AO$24-$I114 =8, (7-(AO$24-2-$I114))/6*2/3, AO$24-$I114 =9, (7-(AO$24-3-$I114))/6*1/3, TRUE, 0) *
IF(ISNUMBER(SEARCH("Ordinance",$L114)),7/6,1) *
IF(OR(ISNUMBER(SEARCH("Melee",$L114)),ISNUMBER(SEARCH("Bypass",$L114))),1.5,1)</f>
        <v>0.88888888888888884</v>
      </c>
      <c r="AP114" s="17" cm="1">
        <f t="array" ref="AP114">$H114 *
IF(ISNUMBER(SEARCH("Rapid",$L114)),7/6,1) *
IF(OR(ISNUMBER(SEARCH("Beam",$L114)),ISNUMBER(SEARCH("Firestorm",$L114))),1, IF(ISNUMBER(SEARCH("Blast",$L114)),(4+$G114+(2-$G114)*0.5)/6*2,(4+$G114)/6)) *
_xlfn.IFS(AP$24-$I114 &lt;=1, 5/6, AP$24-$I114 &lt;=5, (7-(AP$24-$I114))/6, AND(AP$24-$I114 =6,NOT(_xlfn.IFNA(ISNUMBER(SEARCH("Rending",$L114)),FALSE))), (7-(AP$24-$I114))/6, AND(AP$24-$I114 &gt;=7,NOT(_xlfn.IFNA(ISNUMBER(SEARCH("Rending",$L114)),FALSE))), 0, AP$24-$I114 =7, (7-(AP$24-1-$I114))/6, AP$24-$I114 =8, (7-(AP$24-2-$I114))/6*2/3, AP$24-$I114 =9, (7-(AP$24-3-$I114))/6*1/3, TRUE, 0) *
IF(ISNUMBER(SEARCH("Ordinance",$L114)),7/6,1) *
IF(OR(ISNUMBER(SEARCH("Melee",$L114)),ISNUMBER(SEARCH("Bypass",$L114))),1.5,1)</f>
        <v>0.66666666666666663</v>
      </c>
      <c r="AQ114" s="17" cm="1">
        <f t="array" ref="AQ114">$H114 *
IF(ISNUMBER(SEARCH("Rapid",$L114)),7/6,1) *
IF(OR(ISNUMBER(SEARCH("Beam",$L114)),ISNUMBER(SEARCH("Firestorm",$L114))),1, IF(ISNUMBER(SEARCH("Blast",$L114)),(4+$G114+(2-$G114)*0.5)/6*2,(4+$G114)/6)) *
_xlfn.IFS(AQ$24-$I114 &lt;=1, 5/6, AQ$24-$I114 &lt;=5, (7-(AQ$24-$I114))/6, AND(AQ$24-$I114 =6,NOT(_xlfn.IFNA(ISNUMBER(SEARCH("Rending",$L114)),FALSE))), (7-(AQ$24-$I114))/6, AND(AQ$24-$I114 &gt;=7,NOT(_xlfn.IFNA(ISNUMBER(SEARCH("Rending",$L114)),FALSE))), 0, AQ$24-$I114 =7, (7-(AQ$24-1-$I114))/6, AQ$24-$I114 =8, (7-(AQ$24-2-$I114))/6*2/3, AQ$24-$I114 =9, (7-(AQ$24-3-$I114))/6*1/3, TRUE, 0) *
IF(ISNUMBER(SEARCH("Ordinance",$L114)),7/6,1) *
IF(OR(ISNUMBER(SEARCH("Melee",$L114)),ISNUMBER(SEARCH("Bypass",$L114))),1.5,1)</f>
        <v>0.44444444444444442</v>
      </c>
      <c r="AS114" s="16">
        <f t="shared" si="29"/>
        <v>0.16296296296296298</v>
      </c>
      <c r="AT114" s="16">
        <f t="shared" si="29"/>
        <v>0.24444444444444446</v>
      </c>
      <c r="AU114" s="16">
        <f>IF(D114+E114=3,
 IF(E114=3, 2.5*AI114,
  IF(E114=2, 1.8*AI114+0.7*X114,
   IF(E114=1, 0.95*AI114+1.55*X114,
    2.5*X114))),
 IF(D114+E114=2,
  IF(E114=2, 1.55*AI114,
   IF(E114 =1, 0.85*AI114+0.7*X114,
    1.55*X114)),
  IF(E114=1, 0.95*AI114,
   0.7*X114))
)/3</f>
        <v>0.92592592592592593</v>
      </c>
      <c r="AV114" s="2">
        <v>10</v>
      </c>
    </row>
    <row r="115" spans="1:48" x14ac:dyDescent="0.3">
      <c r="A115" t="s">
        <v>787</v>
      </c>
      <c r="B115" s="46">
        <v>25</v>
      </c>
      <c r="C115" s="46">
        <v>50</v>
      </c>
      <c r="D115" s="46"/>
      <c r="E115" s="46">
        <v>3</v>
      </c>
      <c r="F115" s="10"/>
      <c r="G115" s="10"/>
      <c r="H115" s="3">
        <v>2</v>
      </c>
      <c r="I115" s="3">
        <v>14</v>
      </c>
      <c r="J115" s="3" t="s">
        <v>248</v>
      </c>
      <c r="K115" s="46">
        <v>60</v>
      </c>
      <c r="L115" s="3" t="s">
        <v>786</v>
      </c>
      <c r="M115" s="3" t="s">
        <v>199</v>
      </c>
      <c r="N115" s="3">
        <v>11</v>
      </c>
      <c r="O115" s="3">
        <v>11</v>
      </c>
      <c r="P115" s="3">
        <v>15</v>
      </c>
      <c r="Q115" s="3" t="s">
        <v>200</v>
      </c>
      <c r="R115" s="3">
        <v>7</v>
      </c>
      <c r="S115" s="3">
        <v>9</v>
      </c>
      <c r="T115" s="46">
        <v>4</v>
      </c>
      <c r="V115" s="16">
        <f t="shared" si="20"/>
        <v>0.44444444444444442</v>
      </c>
      <c r="W115" s="16">
        <f t="shared" si="21"/>
        <v>0.66666666666666663</v>
      </c>
      <c r="X115" s="17" cm="1">
        <f t="array" ref="X115">$H115 *
IF(ISNUMBER(SEARCH("Rapid",$L115)),7/6,1) *
IF(OR(ISNUMBER(SEARCH("Beam",$L115)),ISNUMBER(SEARCH("Firestorm",$L115))),1, IF(ISNUMBER(SEARCH("Blast",$L115)),(4+$F115+(2-$F115)*0.5)/6*2,(4+$F115)/6)) *
IF(ISNUMBER(SEARCH("Fusion",$L115)), _xlfn.IFS(X$24-$I115 &lt;=1, 9/10, X$24-$I115 &lt;=10,(11-(X$24-$I115))/10, X$24-$I115 &gt;=11, 0),
_xlfn.IFS(X$24-$I115 &lt;=1, 5/6, X$24-$I115 &lt;=5, (7-(X$24-$I115))/6, AND(X$24-$I115 =6,NOT(_xlfn.IFNA(ISNUMBER(SEARCH("Rending",$L115)),FALSE))), (7-(X$24-$I115))/6, AND(X$24-$I115 &gt;=7,NOT(_xlfn.IFNA(ISNUMBER(SEARCH("Rending",$L115)),FALSE))), 0, X$24-$I115 =7, (7-(X$24-1-$I115))/6, X$24-$I115 =8, (7-(X$24-2-$I115))/6*2/3, X$24-$I115 =9, (7-(X$24-3-$I115))/6*1/3, TRUE, 0)) *
IF(ISNUMBER(SEARCH("Ordinance",$L115)),7/6,1) *
IF(OR(ISNUMBER(SEARCH("Melee",$L115)),ISNUMBER(SEARCH("Bypass",$L115))),1.5,1)</f>
        <v>1.1111111111111112</v>
      </c>
      <c r="Y115" s="17" cm="1">
        <f t="array" ref="Y115">$H115 *
IF(ISNUMBER(SEARCH("Rapid",$L115)),7/6,1) *
IF(OR(ISNUMBER(SEARCH("Beam",$L115)),ISNUMBER(SEARCH("Firestorm",$L115))),1, IF(ISNUMBER(SEARCH("Blast",$L115)),(4+$F115+(2-$F115)*0.5)/6*2,(4+$F115)/6)) *
IF(ISNUMBER(SEARCH("Fusion",$L115)), _xlfn.IFS(Y$24-$I115 &lt;=1, 9/10, Y$24-$I115 &lt;=10,(11-(Y$24-$I115))/10, Y$24-$I115 &gt;=11, 0),
_xlfn.IFS(Y$24-$I115 &lt;=1, 5/6, Y$24-$I115 &lt;=5, (7-(Y$24-$I115))/6, AND(Y$24-$I115 =6,NOT(_xlfn.IFNA(ISNUMBER(SEARCH("Rending",$L115)),FALSE))), (7-(Y$24-$I115))/6, AND(Y$24-$I115 &gt;=7,NOT(_xlfn.IFNA(ISNUMBER(SEARCH("Rending",$L115)),FALSE))), 0, Y$24-$I115 =7, (7-(Y$24-1-$I115))/6, Y$24-$I115 =8, (7-(Y$24-2-$I115))/6*2/3, Y$24-$I115 =9, (7-(Y$24-3-$I115))/6*1/3, TRUE, 0)) *
IF(ISNUMBER(SEARCH("Ordinance",$L115)),7/6,1) *
IF(OR(ISNUMBER(SEARCH("Melee",$L115)),ISNUMBER(SEARCH("Bypass",$L115))),1.5,1)</f>
        <v>1.1111111111111112</v>
      </c>
      <c r="Z115" s="17" cm="1">
        <f t="array" ref="Z115">$H115 *
IF(ISNUMBER(SEARCH("Rapid",$L115)),7/6,1) *
IF(OR(ISNUMBER(SEARCH("Beam",$L115)),ISNUMBER(SEARCH("Firestorm",$L115))),1, IF(ISNUMBER(SEARCH("Blast",$L115)),(4+$F115+(2-$F115)*0.5)/6*2,(4+$F115)/6)) *
IF(ISNUMBER(SEARCH("Fusion",$L115)), _xlfn.IFS(Z$24-$I115 &lt;=1, 9/10, Z$24-$I115 &lt;=10,(11-(Z$24-$I115))/10, Z$24-$I115 &gt;=11, 0),
_xlfn.IFS(Z$24-$I115 &lt;=1, 5/6, Z$24-$I115 &lt;=5, (7-(Z$24-$I115))/6, AND(Z$24-$I115 =6,NOT(_xlfn.IFNA(ISNUMBER(SEARCH("Rending",$L115)),FALSE))), (7-(Z$24-$I115))/6, AND(Z$24-$I115 &gt;=7,NOT(_xlfn.IFNA(ISNUMBER(SEARCH("Rending",$L115)),FALSE))), 0, Z$24-$I115 =7, (7-(Z$24-1-$I115))/6, Z$24-$I115 =8, (7-(Z$24-2-$I115))/6*2/3, Z$24-$I115 =9, (7-(Z$24-3-$I115))/6*1/3, TRUE, 0)) *
IF(ISNUMBER(SEARCH("Ordinance",$L115)),7/6,1) *
IF(OR(ISNUMBER(SEARCH("Melee",$L115)),ISNUMBER(SEARCH("Bypass",$L115))),1.5,1)</f>
        <v>1.1111111111111112</v>
      </c>
      <c r="AA115" s="17" cm="1">
        <f t="array" ref="AA115">$H115 *
IF(ISNUMBER(SEARCH("Rapid",$L115)),7/6,1) *
IF(OR(ISNUMBER(SEARCH("Beam",$L115)),ISNUMBER(SEARCH("Firestorm",$L115))),1, IF(ISNUMBER(SEARCH("Blast",$L115)),(4+$F115+(2-$F115)*0.5)/6*2,(4+$F115)/6)) *
IF(ISNUMBER(SEARCH("Fusion",$L115)), _xlfn.IFS(AA$24-$I115 &lt;=1, 9/10, AA$24-$I115 &lt;=10,(11-(AA$24-$I115))/10, AA$24-$I115 &gt;=11, 0),
_xlfn.IFS(AA$24-$I115 &lt;=1, 5/6, AA$24-$I115 &lt;=5, (7-(AA$24-$I115))/6, AND(AA$24-$I115 =6,NOT(_xlfn.IFNA(ISNUMBER(SEARCH("Rending",$L115)),FALSE))), (7-(AA$24-$I115))/6, AND(AA$24-$I115 &gt;=7,NOT(_xlfn.IFNA(ISNUMBER(SEARCH("Rending",$L115)),FALSE))), 0, AA$24-$I115 =7, (7-(AA$24-1-$I115))/6, AA$24-$I115 =8, (7-(AA$24-2-$I115))/6*2/3, AA$24-$I115 =9, (7-(AA$24-3-$I115))/6*1/3, TRUE, 0)) *
IF(ISNUMBER(SEARCH("Ordinance",$L115)),7/6,1) *
IF(OR(ISNUMBER(SEARCH("Melee",$L115)),ISNUMBER(SEARCH("Bypass",$L115))),1.5,1)</f>
        <v>1.1111111111111112</v>
      </c>
      <c r="AB115" s="17" cm="1">
        <f t="array" ref="AB115">$H115 *
IF(ISNUMBER(SEARCH("Rapid",$L115)),7/6,1) *
IF(OR(ISNUMBER(SEARCH("Beam",$L115)),ISNUMBER(SEARCH("Firestorm",$L115))),1, IF(ISNUMBER(SEARCH("Blast",$L115)),(4+$F115+(2-$F115)*0.5)/6*2,(4+$F115)/6)) *
IF(ISNUMBER(SEARCH("Fusion",$L115)), _xlfn.IFS(AB$24-$I115 &lt;=1, 9/10, AB$24-$I115 &lt;=10,(11-(AB$24-$I115))/10, AB$24-$I115 &gt;=11, 0),
_xlfn.IFS(AB$24-$I115 &lt;=1, 5/6, AB$24-$I115 &lt;=5, (7-(AB$24-$I115))/6, AND(AB$24-$I115 =6,NOT(_xlfn.IFNA(ISNUMBER(SEARCH("Rending",$L115)),FALSE))), (7-(AB$24-$I115))/6, AND(AB$24-$I115 &gt;=7,NOT(_xlfn.IFNA(ISNUMBER(SEARCH("Rending",$L115)),FALSE))), 0, AB$24-$I115 =7, (7-(AB$24-1-$I115))/6, AB$24-$I115 =8, (7-(AB$24-2-$I115))/6*2/3, AB$24-$I115 =9, (7-(AB$24-3-$I115))/6*1/3, TRUE, 0)) *
IF(ISNUMBER(SEARCH("Ordinance",$L115)),7/6,1) *
IF(OR(ISNUMBER(SEARCH("Melee",$L115)),ISNUMBER(SEARCH("Bypass",$L115))),1.5,1)</f>
        <v>1.1111111111111112</v>
      </c>
      <c r="AC115" s="17" cm="1">
        <f t="array" ref="AC115">$H115 *
IF(ISNUMBER(SEARCH("Rapid",$L115)),7/6,1) *
IF(OR(ISNUMBER(SEARCH("Beam",$L115)),ISNUMBER(SEARCH("Firestorm",$L115))),1, IF(ISNUMBER(SEARCH("Blast",$L115)),(4+$F115+(2-$F115)*0.5)/6*2,(4+$F115)/6)) *
IF(ISNUMBER(SEARCH("Fusion",$L115)), _xlfn.IFS(AC$24-$I115 &lt;=1, 9/10, AC$24-$I115 &lt;=10,(11-(AC$24-$I115))/10, AC$24-$I115 &gt;=11, 0),
_xlfn.IFS(AC$24-$I115 &lt;=1, 5/6, AC$24-$I115 &lt;=5, (7-(AC$24-$I115))/6, AND(AC$24-$I115 =6,NOT(_xlfn.IFNA(ISNUMBER(SEARCH("Rending",$L115)),FALSE))), (7-(AC$24-$I115))/6, AND(AC$24-$I115 &gt;=7,NOT(_xlfn.IFNA(ISNUMBER(SEARCH("Rending",$L115)),FALSE))), 0, AC$24-$I115 =7, (7-(AC$24-1-$I115))/6, AC$24-$I115 =8, (7-(AC$24-2-$I115))/6*2/3, AC$24-$I115 =9, (7-(AC$24-3-$I115))/6*1/3, TRUE, 0)) *
IF(ISNUMBER(SEARCH("Ordinance",$L115)),7/6,1) *
IF(OR(ISNUMBER(SEARCH("Melee",$L115)),ISNUMBER(SEARCH("Bypass",$L115))),1.5,1)</f>
        <v>1.1111111111111112</v>
      </c>
      <c r="AD115" s="17" cm="1">
        <f t="array" ref="AD115">$H115 *
IF(ISNUMBER(SEARCH("Rapid",$L115)),7/6,1) *
IF(OR(ISNUMBER(SEARCH("Beam",$L115)),ISNUMBER(SEARCH("Firestorm",$L115))),1, IF(ISNUMBER(SEARCH("Blast",$L115)),(4+$F115+(2-$F115)*0.5)/6*2,(4+$F115)/6)) *
IF(ISNUMBER(SEARCH("Fusion",$L115)), _xlfn.IFS(AD$24-$I115 &lt;=1, 9/10, AD$24-$I115 &lt;=10,(11-(AD$24-$I115))/10, AD$24-$I115 &gt;=11, 0),
_xlfn.IFS(AD$24-$I115 &lt;=1, 5/6, AD$24-$I115 &lt;=5, (7-(AD$24-$I115))/6, AND(AD$24-$I115 =6,NOT(_xlfn.IFNA(ISNUMBER(SEARCH("Rending",$L115)),FALSE))), (7-(AD$24-$I115))/6, AND(AD$24-$I115 &gt;=7,NOT(_xlfn.IFNA(ISNUMBER(SEARCH("Rending",$L115)),FALSE))), 0, AD$24-$I115 =7, (7-(AD$24-1-$I115))/6, AD$24-$I115 =8, (7-(AD$24-2-$I115))/6*2/3, AD$24-$I115 =9, (7-(AD$24-3-$I115))/6*1/3, TRUE, 0)) *
IF(ISNUMBER(SEARCH("Ordinance",$L115)),7/6,1) *
IF(OR(ISNUMBER(SEARCH("Melee",$L115)),ISNUMBER(SEARCH("Bypass",$L115))),1.5,1)</f>
        <v>1.1111111111111112</v>
      </c>
      <c r="AE115" s="17" cm="1">
        <f t="array" ref="AE115">$H115 *
IF(ISNUMBER(SEARCH("Rapid",$L115)),7/6,1) *
IF(OR(ISNUMBER(SEARCH("Beam",$L115)),ISNUMBER(SEARCH("Firestorm",$L115))),1, IF(ISNUMBER(SEARCH("Blast",$L115)),(4+$F115+(2-$F115)*0.5)/6*2,(4+$F115)/6)) *
IF(ISNUMBER(SEARCH("Fusion",$L115)), _xlfn.IFS(AE$24-$I115 &lt;=1, 9/10, AE$24-$I115 &lt;=10,(11-(AE$24-$I115))/10, AE$24-$I115 &gt;=11, 0),
_xlfn.IFS(AE$24-$I115 &lt;=1, 5/6, AE$24-$I115 &lt;=5, (7-(AE$24-$I115))/6, AND(AE$24-$I115 =6,NOT(_xlfn.IFNA(ISNUMBER(SEARCH("Rending",$L115)),FALSE))), (7-(AE$24-$I115))/6, AND(AE$24-$I115 &gt;=7,NOT(_xlfn.IFNA(ISNUMBER(SEARCH("Rending",$L115)),FALSE))), 0, AE$24-$I115 =7, (7-(AE$24-1-$I115))/6, AE$24-$I115 =8, (7-(AE$24-2-$I115))/6*2/3, AE$24-$I115 =9, (7-(AE$24-3-$I115))/6*1/3, TRUE, 0)) *
IF(ISNUMBER(SEARCH("Ordinance",$L115)),7/6,1) *
IF(OR(ISNUMBER(SEARCH("Melee",$L115)),ISNUMBER(SEARCH("Bypass",$L115))),1.5,1)</f>
        <v>1.1111111111111112</v>
      </c>
      <c r="AF115" s="17" cm="1">
        <f t="array" ref="AF115">$H115 *
IF(ISNUMBER(SEARCH("Rapid",$L115)),7/6,1) *
IF(OR(ISNUMBER(SEARCH("Beam",$L115)),ISNUMBER(SEARCH("Firestorm",$L115))),1, IF(ISNUMBER(SEARCH("Blast",$L115)),(4+$F115+(2-$F115)*0.5)/6*2,(4+$F115)/6)) *
IF(ISNUMBER(SEARCH("Fusion",$L115)), _xlfn.IFS(AF$24-$I115 &lt;=1, 9/10, AF$24-$I115 &lt;=10,(11-(AF$24-$I115))/10, AF$24-$I115 &gt;=11, 0),
_xlfn.IFS(AF$24-$I115 &lt;=1, 5/6, AF$24-$I115 &lt;=5, (7-(AF$24-$I115))/6, AND(AF$24-$I115 =6,NOT(_xlfn.IFNA(ISNUMBER(SEARCH("Rending",$L115)),FALSE))), (7-(AF$24-$I115))/6, AND(AF$24-$I115 &gt;=7,NOT(_xlfn.IFNA(ISNUMBER(SEARCH("Rending",$L115)),FALSE))), 0, AF$24-$I115 =7, (7-(AF$24-1-$I115))/6, AF$24-$I115 =8, (7-(AF$24-2-$I115))/6*2/3, AF$24-$I115 =9, (7-(AF$24-3-$I115))/6*1/3, TRUE, 0)) *
IF(ISNUMBER(SEARCH("Ordinance",$L115)),7/6,1) *
IF(OR(ISNUMBER(SEARCH("Melee",$L115)),ISNUMBER(SEARCH("Bypass",$L115))),1.5,1)</f>
        <v>0.88888888888888884</v>
      </c>
      <c r="AG115" s="16">
        <f t="shared" si="22"/>
        <v>0.44444444444444442</v>
      </c>
      <c r="AH115" s="16">
        <f t="shared" si="23"/>
        <v>0.66666666666666663</v>
      </c>
      <c r="AI115" s="17" cm="1">
        <f t="array" ref="AI115">$H115 *
IF(ISNUMBER(SEARCH("Rapid",$L115)),7/6,1) *
IF(OR(ISNUMBER(SEARCH("Beam",$L115)),ISNUMBER(SEARCH("Firestorm",$L115))),1, IF(ISNUMBER(SEARCH("Blast",$L115)),(4+$G115+(2-$G115)*0.5)/6*2,(4+$G115)/6)) *
_xlfn.IFS(AI$24-$I115 &lt;=1, 5/6, AI$24-$I115 &lt;=5, (7-(AI$24-$I115))/6, AND(AI$24-$I115 =6,NOT(_xlfn.IFNA(ISNUMBER(SEARCH("Rending",$L115)),FALSE))), (7-(AI$24-$I115))/6, AND(AI$24-$I115 &gt;=7,NOT(_xlfn.IFNA(ISNUMBER(SEARCH("Rending",$L115)),FALSE))), 0, AI$24-$I115 =7, (7-(AI$24-1-$I115))/6, AI$24-$I115 =8, (7-(AI$24-2-$I115))/6*2/3, AI$24-$I115 =9, (7-(AI$24-3-$I115))/6*1/3, TRUE, 0) *
IF(ISNUMBER(SEARCH("Ordinance",$L115)),7/6,1) *
IF(OR(ISNUMBER(SEARCH("Melee",$L115)),ISNUMBER(SEARCH("Bypass",$L115))),1.5,1)</f>
        <v>1.1111111111111112</v>
      </c>
      <c r="AJ115" s="17" cm="1">
        <f t="array" ref="AJ115">$H115 *
IF(ISNUMBER(SEARCH("Rapid",$L115)),7/6,1) *
IF(OR(ISNUMBER(SEARCH("Beam",$L115)),ISNUMBER(SEARCH("Firestorm",$L115))),1, IF(ISNUMBER(SEARCH("Blast",$L115)),(4+$G115+(2-$G115)*0.5)/6*2,(4+$G115)/6)) *
_xlfn.IFS(AJ$24-$I115 &lt;=1, 5/6, AJ$24-$I115 &lt;=5, (7-(AJ$24-$I115))/6, AND(AJ$24-$I115 =6,NOT(_xlfn.IFNA(ISNUMBER(SEARCH("Rending",$L115)),FALSE))), (7-(AJ$24-$I115))/6, AND(AJ$24-$I115 &gt;=7,NOT(_xlfn.IFNA(ISNUMBER(SEARCH("Rending",$L115)),FALSE))), 0, AJ$24-$I115 =7, (7-(AJ$24-1-$I115))/6, AJ$24-$I115 =8, (7-(AJ$24-2-$I115))/6*2/3, AJ$24-$I115 =9, (7-(AJ$24-3-$I115))/6*1/3, TRUE, 0) *
IF(ISNUMBER(SEARCH("Ordinance",$L115)),7/6,1) *
IF(OR(ISNUMBER(SEARCH("Melee",$L115)),ISNUMBER(SEARCH("Bypass",$L115))),1.5,1)</f>
        <v>1.1111111111111112</v>
      </c>
      <c r="AK115" s="17" cm="1">
        <f t="array" ref="AK115">$H115 *
IF(ISNUMBER(SEARCH("Rapid",$L115)),7/6,1) *
IF(OR(ISNUMBER(SEARCH("Beam",$L115)),ISNUMBER(SEARCH("Firestorm",$L115))),1, IF(ISNUMBER(SEARCH("Blast",$L115)),(4+$G115+(2-$G115)*0.5)/6*2,(4+$G115)/6)) *
_xlfn.IFS(AK$24-$I115 &lt;=1, 5/6, AK$24-$I115 &lt;=5, (7-(AK$24-$I115))/6, AND(AK$24-$I115 =6,NOT(_xlfn.IFNA(ISNUMBER(SEARCH("Rending",$L115)),FALSE))), (7-(AK$24-$I115))/6, AND(AK$24-$I115 &gt;=7,NOT(_xlfn.IFNA(ISNUMBER(SEARCH("Rending",$L115)),FALSE))), 0, AK$24-$I115 =7, (7-(AK$24-1-$I115))/6, AK$24-$I115 =8, (7-(AK$24-2-$I115))/6*2/3, AK$24-$I115 =9, (7-(AK$24-3-$I115))/6*1/3, TRUE, 0) *
IF(ISNUMBER(SEARCH("Ordinance",$L115)),7/6,1) *
IF(OR(ISNUMBER(SEARCH("Melee",$L115)),ISNUMBER(SEARCH("Bypass",$L115))),1.5,1)</f>
        <v>1.1111111111111112</v>
      </c>
      <c r="AL115" s="17" cm="1">
        <f t="array" ref="AL115">$H115 *
IF(ISNUMBER(SEARCH("Rapid",$L115)),7/6,1) *
IF(OR(ISNUMBER(SEARCH("Beam",$L115)),ISNUMBER(SEARCH("Firestorm",$L115))),1, IF(ISNUMBER(SEARCH("Blast",$L115)),(4+$G115+(2-$G115)*0.5)/6*2,(4+$G115)/6)) *
_xlfn.IFS(AL$24-$I115 &lt;=1, 5/6, AL$24-$I115 &lt;=5, (7-(AL$24-$I115))/6, AND(AL$24-$I115 =6,NOT(_xlfn.IFNA(ISNUMBER(SEARCH("Rending",$L115)),FALSE))), (7-(AL$24-$I115))/6, AND(AL$24-$I115 &gt;=7,NOT(_xlfn.IFNA(ISNUMBER(SEARCH("Rending",$L115)),FALSE))), 0, AL$24-$I115 =7, (7-(AL$24-1-$I115))/6, AL$24-$I115 =8, (7-(AL$24-2-$I115))/6*2/3, AL$24-$I115 =9, (7-(AL$24-3-$I115))/6*1/3, TRUE, 0) *
IF(ISNUMBER(SEARCH("Ordinance",$L115)),7/6,1) *
IF(OR(ISNUMBER(SEARCH("Melee",$L115)),ISNUMBER(SEARCH("Bypass",$L115))),1.5,1)</f>
        <v>1.1111111111111112</v>
      </c>
      <c r="AM115" s="17" cm="1">
        <f t="array" ref="AM115">$H115 *
IF(ISNUMBER(SEARCH("Rapid",$L115)),7/6,1) *
IF(OR(ISNUMBER(SEARCH("Beam",$L115)),ISNUMBER(SEARCH("Firestorm",$L115))),1, IF(ISNUMBER(SEARCH("Blast",$L115)),(4+$G115+(2-$G115)*0.5)/6*2,(4+$G115)/6)) *
_xlfn.IFS(AM$24-$I115 &lt;=1, 5/6, AM$24-$I115 &lt;=5, (7-(AM$24-$I115))/6, AND(AM$24-$I115 =6,NOT(_xlfn.IFNA(ISNUMBER(SEARCH("Rending",$L115)),FALSE))), (7-(AM$24-$I115))/6, AND(AM$24-$I115 &gt;=7,NOT(_xlfn.IFNA(ISNUMBER(SEARCH("Rending",$L115)),FALSE))), 0, AM$24-$I115 =7, (7-(AM$24-1-$I115))/6, AM$24-$I115 =8, (7-(AM$24-2-$I115))/6*2/3, AM$24-$I115 =9, (7-(AM$24-3-$I115))/6*1/3, TRUE, 0) *
IF(ISNUMBER(SEARCH("Ordinance",$L115)),7/6,1) *
IF(OR(ISNUMBER(SEARCH("Melee",$L115)),ISNUMBER(SEARCH("Bypass",$L115))),1.5,1)</f>
        <v>1.1111111111111112</v>
      </c>
      <c r="AN115" s="17" cm="1">
        <f t="array" ref="AN115">$H115 *
IF(ISNUMBER(SEARCH("Rapid",$L115)),7/6,1) *
IF(OR(ISNUMBER(SEARCH("Beam",$L115)),ISNUMBER(SEARCH("Firestorm",$L115))),1, IF(ISNUMBER(SEARCH("Blast",$L115)),(4+$G115+(2-$G115)*0.5)/6*2,(4+$G115)/6)) *
_xlfn.IFS(AN$24-$I115 &lt;=1, 5/6, AN$24-$I115 &lt;=5, (7-(AN$24-$I115))/6, AND(AN$24-$I115 =6,NOT(_xlfn.IFNA(ISNUMBER(SEARCH("Rending",$L115)),FALSE))), (7-(AN$24-$I115))/6, AND(AN$24-$I115 &gt;=7,NOT(_xlfn.IFNA(ISNUMBER(SEARCH("Rending",$L115)),FALSE))), 0, AN$24-$I115 =7, (7-(AN$24-1-$I115))/6, AN$24-$I115 =8, (7-(AN$24-2-$I115))/6*2/3, AN$24-$I115 =9, (7-(AN$24-3-$I115))/6*1/3, TRUE, 0) *
IF(ISNUMBER(SEARCH("Ordinance",$L115)),7/6,1) *
IF(OR(ISNUMBER(SEARCH("Melee",$L115)),ISNUMBER(SEARCH("Bypass",$L115))),1.5,1)</f>
        <v>1.1111111111111112</v>
      </c>
      <c r="AO115" s="17" cm="1">
        <f t="array" ref="AO115">$H115 *
IF(ISNUMBER(SEARCH("Rapid",$L115)),7/6,1) *
IF(OR(ISNUMBER(SEARCH("Beam",$L115)),ISNUMBER(SEARCH("Firestorm",$L115))),1, IF(ISNUMBER(SEARCH("Blast",$L115)),(4+$G115+(2-$G115)*0.5)/6*2,(4+$G115)/6)) *
_xlfn.IFS(AO$24-$I115 &lt;=1, 5/6, AO$24-$I115 &lt;=5, (7-(AO$24-$I115))/6, AND(AO$24-$I115 =6,NOT(_xlfn.IFNA(ISNUMBER(SEARCH("Rending",$L115)),FALSE))), (7-(AO$24-$I115))/6, AND(AO$24-$I115 &gt;=7,NOT(_xlfn.IFNA(ISNUMBER(SEARCH("Rending",$L115)),FALSE))), 0, AO$24-$I115 =7, (7-(AO$24-1-$I115))/6, AO$24-$I115 =8, (7-(AO$24-2-$I115))/6*2/3, AO$24-$I115 =9, (7-(AO$24-3-$I115))/6*1/3, TRUE, 0) *
IF(ISNUMBER(SEARCH("Ordinance",$L115)),7/6,1) *
IF(OR(ISNUMBER(SEARCH("Melee",$L115)),ISNUMBER(SEARCH("Bypass",$L115))),1.5,1)</f>
        <v>1.1111111111111112</v>
      </c>
      <c r="AP115" s="17" cm="1">
        <f t="array" ref="AP115">$H115 *
IF(ISNUMBER(SEARCH("Rapid",$L115)),7/6,1) *
IF(OR(ISNUMBER(SEARCH("Beam",$L115)),ISNUMBER(SEARCH("Firestorm",$L115))),1, IF(ISNUMBER(SEARCH("Blast",$L115)),(4+$G115+(2-$G115)*0.5)/6*2,(4+$G115)/6)) *
_xlfn.IFS(AP$24-$I115 &lt;=1, 5/6, AP$24-$I115 &lt;=5, (7-(AP$24-$I115))/6, AND(AP$24-$I115 =6,NOT(_xlfn.IFNA(ISNUMBER(SEARCH("Rending",$L115)),FALSE))), (7-(AP$24-$I115))/6, AND(AP$24-$I115 &gt;=7,NOT(_xlfn.IFNA(ISNUMBER(SEARCH("Rending",$L115)),FALSE))), 0, AP$24-$I115 =7, (7-(AP$24-1-$I115))/6, AP$24-$I115 =8, (7-(AP$24-2-$I115))/6*2/3, AP$24-$I115 =9, (7-(AP$24-3-$I115))/6*1/3, TRUE, 0) *
IF(ISNUMBER(SEARCH("Ordinance",$L115)),7/6,1) *
IF(OR(ISNUMBER(SEARCH("Melee",$L115)),ISNUMBER(SEARCH("Bypass",$L115))),1.5,1)</f>
        <v>1.1111111111111112</v>
      </c>
      <c r="AQ115" s="17" cm="1">
        <f t="array" ref="AQ115">$H115 *
IF(ISNUMBER(SEARCH("Rapid",$L115)),7/6,1) *
IF(OR(ISNUMBER(SEARCH("Beam",$L115)),ISNUMBER(SEARCH("Firestorm",$L115))),1, IF(ISNUMBER(SEARCH("Blast",$L115)),(4+$G115+(2-$G115)*0.5)/6*2,(4+$G115)/6)) *
_xlfn.IFS(AQ$24-$I115 &lt;=1, 5/6, AQ$24-$I115 &lt;=5, (7-(AQ$24-$I115))/6, AND(AQ$24-$I115 =6,NOT(_xlfn.IFNA(ISNUMBER(SEARCH("Rending",$L115)),FALSE))), (7-(AQ$24-$I115))/6, AND(AQ$24-$I115 &gt;=7,NOT(_xlfn.IFNA(ISNUMBER(SEARCH("Rending",$L115)),FALSE))), 0, AQ$24-$I115 =7, (7-(AQ$24-1-$I115))/6, AQ$24-$I115 =8, (7-(AQ$24-2-$I115))/6*2/3, AQ$24-$I115 =9, (7-(AQ$24-3-$I115))/6*1/3, TRUE, 0) *
IF(ISNUMBER(SEARCH("Ordinance",$L115)),7/6,1) *
IF(OR(ISNUMBER(SEARCH("Melee",$L115)),ISNUMBER(SEARCH("Bypass",$L115))),1.5,1)</f>
        <v>0.88888888888888884</v>
      </c>
      <c r="AS115" s="16">
        <f t="shared" si="29"/>
        <v>0.16296296296296298</v>
      </c>
      <c r="AT115" s="16">
        <f t="shared" si="29"/>
        <v>0.24444444444444446</v>
      </c>
      <c r="AU115" s="16">
        <f>IF(D115+E115=3,
 IF(E115=3, 2.5*AI115,
  IF(E115=2, 1.8*AI115+0.7*X115,
   IF(E115=1, 0.95*AI115+1.55*X115,
    2.5*X115))),
 IF(D115+E115=2,
  IF(E115=2, 1.55*AI115,
   IF(E115 =1, 0.85*AI115+0.7*X115,
    1.55*X115)),
  IF(E115=1, 0.95*AI115,
   0.7*X115))
)/3</f>
        <v>0.92592592592592593</v>
      </c>
      <c r="AV115" s="2">
        <v>10</v>
      </c>
    </row>
    <row r="116" spans="1:48" x14ac:dyDescent="0.3">
      <c r="A116" t="s">
        <v>789</v>
      </c>
      <c r="B116" s="3">
        <v>16</v>
      </c>
      <c r="C116" s="3">
        <v>24</v>
      </c>
      <c r="D116" s="3">
        <v>1</v>
      </c>
      <c r="E116" s="3">
        <v>1</v>
      </c>
      <c r="H116" s="3">
        <v>3</v>
      </c>
      <c r="I116" s="3">
        <v>6</v>
      </c>
      <c r="J116" s="3" t="s">
        <v>248</v>
      </c>
      <c r="K116" s="3">
        <v>40</v>
      </c>
      <c r="L116" s="3" t="s">
        <v>262</v>
      </c>
      <c r="M116" s="3" t="s">
        <v>199</v>
      </c>
      <c r="N116" s="3">
        <v>11</v>
      </c>
      <c r="V116" s="16">
        <f t="shared" si="20"/>
        <v>1.63</v>
      </c>
      <c r="W116" s="16">
        <f t="shared" si="21"/>
        <v>2.4449999999999998</v>
      </c>
      <c r="X116" s="17" cm="1">
        <f t="array" ref="X116">$H116 *
IF(ISNUMBER(SEARCH("Rapid",$L116)),7/6,1) *
IF(OR(ISNUMBER(SEARCH("Beam",$L116)),ISNUMBER(SEARCH("Firestorm",$L116))),1, IF(ISNUMBER(SEARCH("Blast",$L116)),(4+$F116+(2-$F116)*0.5)/6*2,(4+$F116)/6)) *
IF(ISNUMBER(SEARCH("Fusion",$L116)), _xlfn.IFS(X$24-$I116 &lt;=1, 9/10, X$24-$I116 &lt;=10,(11-(X$24-$I116))/10, X$24-$I116 &gt;=11, 0),
_xlfn.IFS(X$24-$I116 &lt;=1, 5/6, X$24-$I116 &lt;=5, (7-(X$24-$I116))/6, AND(X$24-$I116 =6,NOT(_xlfn.IFNA(ISNUMBER(SEARCH("Rending",$L116)),FALSE))), (7-(X$24-$I116))/6, AND(X$24-$I116 &gt;=7,NOT(_xlfn.IFNA(ISNUMBER(SEARCH("Rending",$L116)),FALSE))), 0, X$24-$I116 =7, (7-(X$24-1-$I116))/6, X$24-$I116 =8, (7-(X$24-2-$I116))/6*2/3, X$24-$I116 =9, (7-(X$24-3-$I116))/6*1/3, TRUE, 0)) *
IF(ISNUMBER(SEARCH("Ordinance",$L116)),7/6,1) *
IF(OR(ISNUMBER(SEARCH("Melee",$L116)),ISNUMBER(SEARCH("Bypass",$L116))),1.5,1)</f>
        <v>2</v>
      </c>
      <c r="Y116" s="17" cm="1">
        <f t="array" ref="Y116">$H116 *
IF(ISNUMBER(SEARCH("Rapid",$L116)),7/6,1) *
IF(OR(ISNUMBER(SEARCH("Beam",$L116)),ISNUMBER(SEARCH("Firestorm",$L116))),1, IF(ISNUMBER(SEARCH("Blast",$L116)),(4+$F116+(2-$F116)*0.5)/6*2,(4+$F116)/6)) *
IF(ISNUMBER(SEARCH("Fusion",$L116)), _xlfn.IFS(Y$24-$I116 &lt;=1, 9/10, Y$24-$I116 &lt;=10,(11-(Y$24-$I116))/10, Y$24-$I116 &gt;=11, 0),
_xlfn.IFS(Y$24-$I116 &lt;=1, 5/6, Y$24-$I116 &lt;=5, (7-(Y$24-$I116))/6, AND(Y$24-$I116 =6,NOT(_xlfn.IFNA(ISNUMBER(SEARCH("Rending",$L116)),FALSE))), (7-(Y$24-$I116))/6, AND(Y$24-$I116 &gt;=7,NOT(_xlfn.IFNA(ISNUMBER(SEARCH("Rending",$L116)),FALSE))), 0, Y$24-$I116 =7, (7-(Y$24-1-$I116))/6, Y$24-$I116 =8, (7-(Y$24-2-$I116))/6*2/3, Y$24-$I116 =9, (7-(Y$24-3-$I116))/6*1/3, TRUE, 0)) *
IF(ISNUMBER(SEARCH("Ordinance",$L116)),7/6,1) *
IF(OR(ISNUMBER(SEARCH("Melee",$L116)),ISNUMBER(SEARCH("Bypass",$L116))),1.5,1)</f>
        <v>1.5</v>
      </c>
      <c r="Z116" s="17" cm="1">
        <f t="array" ref="Z116">$H116 *
IF(ISNUMBER(SEARCH("Rapid",$L116)),7/6,1) *
IF(OR(ISNUMBER(SEARCH("Beam",$L116)),ISNUMBER(SEARCH("Firestorm",$L116))),1, IF(ISNUMBER(SEARCH("Blast",$L116)),(4+$F116+(2-$F116)*0.5)/6*2,(4+$F116)/6)) *
IF(ISNUMBER(SEARCH("Fusion",$L116)), _xlfn.IFS(Z$24-$I116 &lt;=1, 9/10, Z$24-$I116 &lt;=10,(11-(Z$24-$I116))/10, Z$24-$I116 &gt;=11, 0),
_xlfn.IFS(Z$24-$I116 &lt;=1, 5/6, Z$24-$I116 &lt;=5, (7-(Z$24-$I116))/6, AND(Z$24-$I116 =6,NOT(_xlfn.IFNA(ISNUMBER(SEARCH("Rending",$L116)),FALSE))), (7-(Z$24-$I116))/6, AND(Z$24-$I116 &gt;=7,NOT(_xlfn.IFNA(ISNUMBER(SEARCH("Rending",$L116)),FALSE))), 0, Z$24-$I116 =7, (7-(Z$24-1-$I116))/6, Z$24-$I116 =8, (7-(Z$24-2-$I116))/6*2/3, Z$24-$I116 =9, (7-(Z$24-3-$I116))/6*1/3, TRUE, 0)) *
IF(ISNUMBER(SEARCH("Ordinance",$L116)),7/6,1) *
IF(OR(ISNUMBER(SEARCH("Melee",$L116)),ISNUMBER(SEARCH("Bypass",$L116))),1.5,1)</f>
        <v>1</v>
      </c>
      <c r="AA116" s="17" cm="1">
        <f t="array" ref="AA116">$H116 *
IF(ISNUMBER(SEARCH("Rapid",$L116)),7/6,1) *
IF(OR(ISNUMBER(SEARCH("Beam",$L116)),ISNUMBER(SEARCH("Firestorm",$L116))),1, IF(ISNUMBER(SEARCH("Blast",$L116)),(4+$F116+(2-$F116)*0.5)/6*2,(4+$F116)/6)) *
IF(ISNUMBER(SEARCH("Fusion",$L116)), _xlfn.IFS(AA$24-$I116 &lt;=1, 9/10, AA$24-$I116 &lt;=10,(11-(AA$24-$I116))/10, AA$24-$I116 &gt;=11, 0),
_xlfn.IFS(AA$24-$I116 &lt;=1, 5/6, AA$24-$I116 &lt;=5, (7-(AA$24-$I116))/6, AND(AA$24-$I116 =6,NOT(_xlfn.IFNA(ISNUMBER(SEARCH("Rending",$L116)),FALSE))), (7-(AA$24-$I116))/6, AND(AA$24-$I116 &gt;=7,NOT(_xlfn.IFNA(ISNUMBER(SEARCH("Rending",$L116)),FALSE))), 0, AA$24-$I116 =7, (7-(AA$24-1-$I116))/6, AA$24-$I116 =8, (7-(AA$24-2-$I116))/6*2/3, AA$24-$I116 =9, (7-(AA$24-3-$I116))/6*1/3, TRUE, 0)) *
IF(ISNUMBER(SEARCH("Ordinance",$L116)),7/6,1) *
IF(OR(ISNUMBER(SEARCH("Melee",$L116)),ISNUMBER(SEARCH("Bypass",$L116))),1.5,1)</f>
        <v>0.5</v>
      </c>
      <c r="AB116" s="17" cm="1">
        <f t="array" ref="AB116">$H116 *
IF(ISNUMBER(SEARCH("Rapid",$L116)),7/6,1) *
IF(OR(ISNUMBER(SEARCH("Beam",$L116)),ISNUMBER(SEARCH("Firestorm",$L116))),1, IF(ISNUMBER(SEARCH("Blast",$L116)),(4+$F116+(2-$F116)*0.5)/6*2,(4+$F116)/6)) *
IF(ISNUMBER(SEARCH("Fusion",$L116)), _xlfn.IFS(AB$24-$I116 &lt;=1, 9/10, AB$24-$I116 &lt;=10,(11-(AB$24-$I116))/10, AB$24-$I116 &gt;=11, 0),
_xlfn.IFS(AB$24-$I116 &lt;=1, 5/6, AB$24-$I116 &lt;=5, (7-(AB$24-$I116))/6, AND(AB$24-$I116 =6,NOT(_xlfn.IFNA(ISNUMBER(SEARCH("Rending",$L116)),FALSE))), (7-(AB$24-$I116))/6, AND(AB$24-$I116 &gt;=7,NOT(_xlfn.IFNA(ISNUMBER(SEARCH("Rending",$L116)),FALSE))), 0, AB$24-$I116 =7, (7-(AB$24-1-$I116))/6, AB$24-$I116 =8, (7-(AB$24-2-$I116))/6*2/3, AB$24-$I116 =9, (7-(AB$24-3-$I116))/6*1/3, TRUE, 0)) *
IF(ISNUMBER(SEARCH("Ordinance",$L116)),7/6,1) *
IF(OR(ISNUMBER(SEARCH("Melee",$L116)),ISNUMBER(SEARCH("Bypass",$L116))),1.5,1)</f>
        <v>0</v>
      </c>
      <c r="AC116" s="17" cm="1">
        <f t="array" ref="AC116">$H116 *
IF(ISNUMBER(SEARCH("Rapid",$L116)),7/6,1) *
IF(OR(ISNUMBER(SEARCH("Beam",$L116)),ISNUMBER(SEARCH("Firestorm",$L116))),1, IF(ISNUMBER(SEARCH("Blast",$L116)),(4+$F116+(2-$F116)*0.5)/6*2,(4+$F116)/6)) *
IF(ISNUMBER(SEARCH("Fusion",$L116)), _xlfn.IFS(AC$24-$I116 &lt;=1, 9/10, AC$24-$I116 &lt;=10,(11-(AC$24-$I116))/10, AC$24-$I116 &gt;=11, 0),
_xlfn.IFS(AC$24-$I116 &lt;=1, 5/6, AC$24-$I116 &lt;=5, (7-(AC$24-$I116))/6, AND(AC$24-$I116 =6,NOT(_xlfn.IFNA(ISNUMBER(SEARCH("Rending",$L116)),FALSE))), (7-(AC$24-$I116))/6, AND(AC$24-$I116 &gt;=7,NOT(_xlfn.IFNA(ISNUMBER(SEARCH("Rending",$L116)),FALSE))), 0, AC$24-$I116 =7, (7-(AC$24-1-$I116))/6, AC$24-$I116 =8, (7-(AC$24-2-$I116))/6*2/3, AC$24-$I116 =9, (7-(AC$24-3-$I116))/6*1/3, TRUE, 0)) *
IF(ISNUMBER(SEARCH("Ordinance",$L116)),7/6,1) *
IF(OR(ISNUMBER(SEARCH("Melee",$L116)),ISNUMBER(SEARCH("Bypass",$L116))),1.5,1)</f>
        <v>0</v>
      </c>
      <c r="AD116" s="17" cm="1">
        <f t="array" ref="AD116">$H116 *
IF(ISNUMBER(SEARCH("Rapid",$L116)),7/6,1) *
IF(OR(ISNUMBER(SEARCH("Beam",$L116)),ISNUMBER(SEARCH("Firestorm",$L116))),1, IF(ISNUMBER(SEARCH("Blast",$L116)),(4+$F116+(2-$F116)*0.5)/6*2,(4+$F116)/6)) *
IF(ISNUMBER(SEARCH("Fusion",$L116)), _xlfn.IFS(AD$24-$I116 &lt;=1, 9/10, AD$24-$I116 &lt;=10,(11-(AD$24-$I116))/10, AD$24-$I116 &gt;=11, 0),
_xlfn.IFS(AD$24-$I116 &lt;=1, 5/6, AD$24-$I116 &lt;=5, (7-(AD$24-$I116))/6, AND(AD$24-$I116 =6,NOT(_xlfn.IFNA(ISNUMBER(SEARCH("Rending",$L116)),FALSE))), (7-(AD$24-$I116))/6, AND(AD$24-$I116 &gt;=7,NOT(_xlfn.IFNA(ISNUMBER(SEARCH("Rending",$L116)),FALSE))), 0, AD$24-$I116 =7, (7-(AD$24-1-$I116))/6, AD$24-$I116 =8, (7-(AD$24-2-$I116))/6*2/3, AD$24-$I116 =9, (7-(AD$24-3-$I116))/6*1/3, TRUE, 0)) *
IF(ISNUMBER(SEARCH("Ordinance",$L116)),7/6,1) *
IF(OR(ISNUMBER(SEARCH("Melee",$L116)),ISNUMBER(SEARCH("Bypass",$L116))),1.5,1)</f>
        <v>0</v>
      </c>
      <c r="AE116" s="17" cm="1">
        <f t="array" ref="AE116">$H116 *
IF(ISNUMBER(SEARCH("Rapid",$L116)),7/6,1) *
IF(OR(ISNUMBER(SEARCH("Beam",$L116)),ISNUMBER(SEARCH("Firestorm",$L116))),1, IF(ISNUMBER(SEARCH("Blast",$L116)),(4+$F116+(2-$F116)*0.5)/6*2,(4+$F116)/6)) *
IF(ISNUMBER(SEARCH("Fusion",$L116)), _xlfn.IFS(AE$24-$I116 &lt;=1, 9/10, AE$24-$I116 &lt;=10,(11-(AE$24-$I116))/10, AE$24-$I116 &gt;=11, 0),
_xlfn.IFS(AE$24-$I116 &lt;=1, 5/6, AE$24-$I116 &lt;=5, (7-(AE$24-$I116))/6, AND(AE$24-$I116 =6,NOT(_xlfn.IFNA(ISNUMBER(SEARCH("Rending",$L116)),FALSE))), (7-(AE$24-$I116))/6, AND(AE$24-$I116 &gt;=7,NOT(_xlfn.IFNA(ISNUMBER(SEARCH("Rending",$L116)),FALSE))), 0, AE$24-$I116 =7, (7-(AE$24-1-$I116))/6, AE$24-$I116 =8, (7-(AE$24-2-$I116))/6*2/3, AE$24-$I116 =9, (7-(AE$24-3-$I116))/6*1/3, TRUE, 0)) *
IF(ISNUMBER(SEARCH("Ordinance",$L116)),7/6,1) *
IF(OR(ISNUMBER(SEARCH("Melee",$L116)),ISNUMBER(SEARCH("Bypass",$L116))),1.5,1)</f>
        <v>0</v>
      </c>
      <c r="AF116" s="17" cm="1">
        <f t="array" ref="AF116">$H116 *
IF(ISNUMBER(SEARCH("Rapid",$L116)),7/6,1) *
IF(OR(ISNUMBER(SEARCH("Beam",$L116)),ISNUMBER(SEARCH("Firestorm",$L116))),1, IF(ISNUMBER(SEARCH("Blast",$L116)),(4+$F116+(2-$F116)*0.5)/6*2,(4+$F116)/6)) *
IF(ISNUMBER(SEARCH("Fusion",$L116)), _xlfn.IFS(AF$24-$I116 &lt;=1, 9/10, AF$24-$I116 &lt;=10,(11-(AF$24-$I116))/10, AF$24-$I116 &gt;=11, 0),
_xlfn.IFS(AF$24-$I116 &lt;=1, 5/6, AF$24-$I116 &lt;=5, (7-(AF$24-$I116))/6, AND(AF$24-$I116 =6,NOT(_xlfn.IFNA(ISNUMBER(SEARCH("Rending",$L116)),FALSE))), (7-(AF$24-$I116))/6, AND(AF$24-$I116 &gt;=7,NOT(_xlfn.IFNA(ISNUMBER(SEARCH("Rending",$L116)),FALSE))), 0, AF$24-$I116 =7, (7-(AF$24-1-$I116))/6, AF$24-$I116 =8, (7-(AF$24-2-$I116))/6*2/3, AF$24-$I116 =9, (7-(AF$24-3-$I116))/6*1/3, TRUE, 0)) *
IF(ISNUMBER(SEARCH("Ordinance",$L116)),7/6,1) *
IF(OR(ISNUMBER(SEARCH("Melee",$L116)),ISNUMBER(SEARCH("Bypass",$L116))),1.5,1)</f>
        <v>0</v>
      </c>
      <c r="AG116" s="16">
        <f t="shared" si="22"/>
        <v>1.63</v>
      </c>
      <c r="AH116" s="16">
        <f t="shared" si="23"/>
        <v>2.4449999999999998</v>
      </c>
      <c r="AI116" s="17" cm="1">
        <f t="array" ref="AI116">$H116 *
IF(ISNUMBER(SEARCH("Rapid",$L116)),7/6,1) *
IF(OR(ISNUMBER(SEARCH("Beam",$L116)),ISNUMBER(SEARCH("Firestorm",$L116))),1, IF(ISNUMBER(SEARCH("Blast",$L116)),(4+$G116+(2-$G116)*0.5)/6*2,(4+$G116)/6)) *
_xlfn.IFS(AI$24-$I116 &lt;=1, 5/6, AI$24-$I116 &lt;=5, (7-(AI$24-$I116))/6, AND(AI$24-$I116 =6,NOT(_xlfn.IFNA(ISNUMBER(SEARCH("Rending",$L116)),FALSE))), (7-(AI$24-$I116))/6, AND(AI$24-$I116 &gt;=7,NOT(_xlfn.IFNA(ISNUMBER(SEARCH("Rending",$L116)),FALSE))), 0, AI$24-$I116 =7, (7-(AI$24-1-$I116))/6, AI$24-$I116 =8, (7-(AI$24-2-$I116))/6*2/3, AI$24-$I116 =9, (7-(AI$24-3-$I116))/6*1/3, TRUE, 0) *
IF(ISNUMBER(SEARCH("Ordinance",$L116)),7/6,1) *
IF(OR(ISNUMBER(SEARCH("Melee",$L116)),ISNUMBER(SEARCH("Bypass",$L116))),1.5,1)</f>
        <v>2</v>
      </c>
      <c r="AJ116" s="17" cm="1">
        <f t="array" ref="AJ116">$H116 *
IF(ISNUMBER(SEARCH("Rapid",$L116)),7/6,1) *
IF(OR(ISNUMBER(SEARCH("Beam",$L116)),ISNUMBER(SEARCH("Firestorm",$L116))),1, IF(ISNUMBER(SEARCH("Blast",$L116)),(4+$G116+(2-$G116)*0.5)/6*2,(4+$G116)/6)) *
_xlfn.IFS(AJ$24-$I116 &lt;=1, 5/6, AJ$24-$I116 &lt;=5, (7-(AJ$24-$I116))/6, AND(AJ$24-$I116 =6,NOT(_xlfn.IFNA(ISNUMBER(SEARCH("Rending",$L116)),FALSE))), (7-(AJ$24-$I116))/6, AND(AJ$24-$I116 &gt;=7,NOT(_xlfn.IFNA(ISNUMBER(SEARCH("Rending",$L116)),FALSE))), 0, AJ$24-$I116 =7, (7-(AJ$24-1-$I116))/6, AJ$24-$I116 =8, (7-(AJ$24-2-$I116))/6*2/3, AJ$24-$I116 =9, (7-(AJ$24-3-$I116))/6*1/3, TRUE, 0) *
IF(ISNUMBER(SEARCH("Ordinance",$L116)),7/6,1) *
IF(OR(ISNUMBER(SEARCH("Melee",$L116)),ISNUMBER(SEARCH("Bypass",$L116))),1.5,1)</f>
        <v>1.5</v>
      </c>
      <c r="AK116" s="17" cm="1">
        <f t="array" ref="AK116">$H116 *
IF(ISNUMBER(SEARCH("Rapid",$L116)),7/6,1) *
IF(OR(ISNUMBER(SEARCH("Beam",$L116)),ISNUMBER(SEARCH("Firestorm",$L116))),1, IF(ISNUMBER(SEARCH("Blast",$L116)),(4+$G116+(2-$G116)*0.5)/6*2,(4+$G116)/6)) *
_xlfn.IFS(AK$24-$I116 &lt;=1, 5/6, AK$24-$I116 &lt;=5, (7-(AK$24-$I116))/6, AND(AK$24-$I116 =6,NOT(_xlfn.IFNA(ISNUMBER(SEARCH("Rending",$L116)),FALSE))), (7-(AK$24-$I116))/6, AND(AK$24-$I116 &gt;=7,NOT(_xlfn.IFNA(ISNUMBER(SEARCH("Rending",$L116)),FALSE))), 0, AK$24-$I116 =7, (7-(AK$24-1-$I116))/6, AK$24-$I116 =8, (7-(AK$24-2-$I116))/6*2/3, AK$24-$I116 =9, (7-(AK$24-3-$I116))/6*1/3, TRUE, 0) *
IF(ISNUMBER(SEARCH("Ordinance",$L116)),7/6,1) *
IF(OR(ISNUMBER(SEARCH("Melee",$L116)),ISNUMBER(SEARCH("Bypass",$L116))),1.5,1)</f>
        <v>1</v>
      </c>
      <c r="AL116" s="17" cm="1">
        <f t="array" ref="AL116">$H116 *
IF(ISNUMBER(SEARCH("Rapid",$L116)),7/6,1) *
IF(OR(ISNUMBER(SEARCH("Beam",$L116)),ISNUMBER(SEARCH("Firestorm",$L116))),1, IF(ISNUMBER(SEARCH("Blast",$L116)),(4+$G116+(2-$G116)*0.5)/6*2,(4+$G116)/6)) *
_xlfn.IFS(AL$24-$I116 &lt;=1, 5/6, AL$24-$I116 &lt;=5, (7-(AL$24-$I116))/6, AND(AL$24-$I116 =6,NOT(_xlfn.IFNA(ISNUMBER(SEARCH("Rending",$L116)),FALSE))), (7-(AL$24-$I116))/6, AND(AL$24-$I116 &gt;=7,NOT(_xlfn.IFNA(ISNUMBER(SEARCH("Rending",$L116)),FALSE))), 0, AL$24-$I116 =7, (7-(AL$24-1-$I116))/6, AL$24-$I116 =8, (7-(AL$24-2-$I116))/6*2/3, AL$24-$I116 =9, (7-(AL$24-3-$I116))/6*1/3, TRUE, 0) *
IF(ISNUMBER(SEARCH("Ordinance",$L116)),7/6,1) *
IF(OR(ISNUMBER(SEARCH("Melee",$L116)),ISNUMBER(SEARCH("Bypass",$L116))),1.5,1)</f>
        <v>0.5</v>
      </c>
      <c r="AM116" s="17" cm="1">
        <f t="array" ref="AM116">$H116 *
IF(ISNUMBER(SEARCH("Rapid",$L116)),7/6,1) *
IF(OR(ISNUMBER(SEARCH("Beam",$L116)),ISNUMBER(SEARCH("Firestorm",$L116))),1, IF(ISNUMBER(SEARCH("Blast",$L116)),(4+$G116+(2-$G116)*0.5)/6*2,(4+$G116)/6)) *
_xlfn.IFS(AM$24-$I116 &lt;=1, 5/6, AM$24-$I116 &lt;=5, (7-(AM$24-$I116))/6, AND(AM$24-$I116 =6,NOT(_xlfn.IFNA(ISNUMBER(SEARCH("Rending",$L116)),FALSE))), (7-(AM$24-$I116))/6, AND(AM$24-$I116 &gt;=7,NOT(_xlfn.IFNA(ISNUMBER(SEARCH("Rending",$L116)),FALSE))), 0, AM$24-$I116 =7, (7-(AM$24-1-$I116))/6, AM$24-$I116 =8, (7-(AM$24-2-$I116))/6*2/3, AM$24-$I116 =9, (7-(AM$24-3-$I116))/6*1/3, TRUE, 0) *
IF(ISNUMBER(SEARCH("Ordinance",$L116)),7/6,1) *
IF(OR(ISNUMBER(SEARCH("Melee",$L116)),ISNUMBER(SEARCH("Bypass",$L116))),1.5,1)</f>
        <v>0</v>
      </c>
      <c r="AN116" s="17" cm="1">
        <f t="array" ref="AN116">$H116 *
IF(ISNUMBER(SEARCH("Rapid",$L116)),7/6,1) *
IF(OR(ISNUMBER(SEARCH("Beam",$L116)),ISNUMBER(SEARCH("Firestorm",$L116))),1, IF(ISNUMBER(SEARCH("Blast",$L116)),(4+$G116+(2-$G116)*0.5)/6*2,(4+$G116)/6)) *
_xlfn.IFS(AN$24-$I116 &lt;=1, 5/6, AN$24-$I116 &lt;=5, (7-(AN$24-$I116))/6, AND(AN$24-$I116 =6,NOT(_xlfn.IFNA(ISNUMBER(SEARCH("Rending",$L116)),FALSE))), (7-(AN$24-$I116))/6, AND(AN$24-$I116 &gt;=7,NOT(_xlfn.IFNA(ISNUMBER(SEARCH("Rending",$L116)),FALSE))), 0, AN$24-$I116 =7, (7-(AN$24-1-$I116))/6, AN$24-$I116 =8, (7-(AN$24-2-$I116))/6*2/3, AN$24-$I116 =9, (7-(AN$24-3-$I116))/6*1/3, TRUE, 0) *
IF(ISNUMBER(SEARCH("Ordinance",$L116)),7/6,1) *
IF(OR(ISNUMBER(SEARCH("Melee",$L116)),ISNUMBER(SEARCH("Bypass",$L116))),1.5,1)</f>
        <v>0</v>
      </c>
      <c r="AO116" s="17" cm="1">
        <f t="array" ref="AO116">$H116 *
IF(ISNUMBER(SEARCH("Rapid",$L116)),7/6,1) *
IF(OR(ISNUMBER(SEARCH("Beam",$L116)),ISNUMBER(SEARCH("Firestorm",$L116))),1, IF(ISNUMBER(SEARCH("Blast",$L116)),(4+$G116+(2-$G116)*0.5)/6*2,(4+$G116)/6)) *
_xlfn.IFS(AO$24-$I116 &lt;=1, 5/6, AO$24-$I116 &lt;=5, (7-(AO$24-$I116))/6, AND(AO$24-$I116 =6,NOT(_xlfn.IFNA(ISNUMBER(SEARCH("Rending",$L116)),FALSE))), (7-(AO$24-$I116))/6, AND(AO$24-$I116 &gt;=7,NOT(_xlfn.IFNA(ISNUMBER(SEARCH("Rending",$L116)),FALSE))), 0, AO$24-$I116 =7, (7-(AO$24-1-$I116))/6, AO$24-$I116 =8, (7-(AO$24-2-$I116))/6*2/3, AO$24-$I116 =9, (7-(AO$24-3-$I116))/6*1/3, TRUE, 0) *
IF(ISNUMBER(SEARCH("Ordinance",$L116)),7/6,1) *
IF(OR(ISNUMBER(SEARCH("Melee",$L116)),ISNUMBER(SEARCH("Bypass",$L116))),1.5,1)</f>
        <v>0</v>
      </c>
      <c r="AP116" s="17" cm="1">
        <f t="array" ref="AP116">$H116 *
IF(ISNUMBER(SEARCH("Rapid",$L116)),7/6,1) *
IF(OR(ISNUMBER(SEARCH("Beam",$L116)),ISNUMBER(SEARCH("Firestorm",$L116))),1, IF(ISNUMBER(SEARCH("Blast",$L116)),(4+$G116+(2-$G116)*0.5)/6*2,(4+$G116)/6)) *
_xlfn.IFS(AP$24-$I116 &lt;=1, 5/6, AP$24-$I116 &lt;=5, (7-(AP$24-$I116))/6, AND(AP$24-$I116 =6,NOT(_xlfn.IFNA(ISNUMBER(SEARCH("Rending",$L116)),FALSE))), (7-(AP$24-$I116))/6, AND(AP$24-$I116 &gt;=7,NOT(_xlfn.IFNA(ISNUMBER(SEARCH("Rending",$L116)),FALSE))), 0, AP$24-$I116 =7, (7-(AP$24-1-$I116))/6, AP$24-$I116 =8, (7-(AP$24-2-$I116))/6*2/3, AP$24-$I116 =9, (7-(AP$24-3-$I116))/6*1/3, TRUE, 0) *
IF(ISNUMBER(SEARCH("Ordinance",$L116)),7/6,1) *
IF(OR(ISNUMBER(SEARCH("Melee",$L116)),ISNUMBER(SEARCH("Bypass",$L116))),1.5,1)</f>
        <v>0</v>
      </c>
      <c r="AQ116" s="17" cm="1">
        <f t="array" ref="AQ116">$H116 *
IF(ISNUMBER(SEARCH("Rapid",$L116)),7/6,1) *
IF(OR(ISNUMBER(SEARCH("Beam",$L116)),ISNUMBER(SEARCH("Firestorm",$L116))),1, IF(ISNUMBER(SEARCH("Blast",$L116)),(4+$G116+(2-$G116)*0.5)/6*2,(4+$G116)/6)) *
_xlfn.IFS(AQ$24-$I116 &lt;=1, 5/6, AQ$24-$I116 &lt;=5, (7-(AQ$24-$I116))/6, AND(AQ$24-$I116 =6,NOT(_xlfn.IFNA(ISNUMBER(SEARCH("Rending",$L116)),FALSE))), (7-(AQ$24-$I116))/6, AND(AQ$24-$I116 &gt;=7,NOT(_xlfn.IFNA(ISNUMBER(SEARCH("Rending",$L116)),FALSE))), 0, AQ$24-$I116 =7, (7-(AQ$24-1-$I116))/6, AQ$24-$I116 =8, (7-(AQ$24-2-$I116))/6*2/3, AQ$24-$I116 =9, (7-(AQ$24-3-$I116))/6*1/3, TRUE, 0) *
IF(ISNUMBER(SEARCH("Ordinance",$L116)),7/6,1) *
IF(OR(ISNUMBER(SEARCH("Melee",$L116)),ISNUMBER(SEARCH("Bypass",$L116))),1.5,1)</f>
        <v>0</v>
      </c>
      <c r="AS116" s="16">
        <f t="shared" si="29"/>
        <v>1.63</v>
      </c>
      <c r="AT116" s="16">
        <f t="shared" si="29"/>
        <v>2.4449999999999998</v>
      </c>
      <c r="AU116" s="16">
        <f>IF(D116+E116=3,
 IF(E116=3, 2.5*AI116,
  IF(E116=2, 1.8*AI116+0.7*X116,
   IF(E116=1, 0.95*AI116+1.55*X116,
    2.5*X116))),
 IF(D116+E116=2,
  IF(E116=2, 1.55*AI116,
   IF(E116 =1, 0.85*AI116+0.7*X116,
    1.55*X116)),
  IF(E116=1, 0.95*AI116,
   0.7*X116))
)/3</f>
        <v>1.0333333333333332</v>
      </c>
    </row>
    <row r="117" spans="1:48" x14ac:dyDescent="0.3">
      <c r="V117" s="16">
        <f t="shared" si="20"/>
        <v>0</v>
      </c>
      <c r="W117" s="16">
        <f t="shared" si="21"/>
        <v>0</v>
      </c>
      <c r="X117" s="17" cm="1">
        <f t="array" ref="X117">$H117 *
IF(ISNUMBER(SEARCH("Rapid",$L117)),7/6,1) *
IF(OR(ISNUMBER(SEARCH("Beam",$L117)),ISNUMBER(SEARCH("Firestorm",$L117))),1, IF(ISNUMBER(SEARCH("Blast",$L117)),(4+$F117+(2-$F117)*0.5)/6*2,(4+$F117)/6)) *
IF(ISNUMBER(SEARCH("Fusion",$L117)), _xlfn.IFS(X$24-$I117 &lt;=1, 9/10, X$24-$I117 &lt;=10,(11-(X$24-$I117))/10, X$24-$I117 &gt;=11, 0),
_xlfn.IFS(X$24-$I117 &lt;=1, 5/6, X$24-$I117 &lt;=5, (7-(X$24-$I117))/6, AND(X$24-$I117 =6,NOT(_xlfn.IFNA(ISNUMBER(SEARCH("Rending",$L117)),FALSE))), (7-(X$24-$I117))/6, AND(X$24-$I117 &gt;=7,NOT(_xlfn.IFNA(ISNUMBER(SEARCH("Rending",$L117)),FALSE))), 0, X$24-$I117 =7, (7-(X$24-1-$I117))/6, X$24-$I117 =8, (7-(X$24-2-$I117))/6*2/3, X$24-$I117 =9, (7-(X$24-3-$I117))/6*1/3, TRUE, 0)) *
IF(ISNUMBER(SEARCH("Ordinance",$L117)),7/6,1) *
IF(OR(ISNUMBER(SEARCH("Melee",$L117)),ISNUMBER(SEARCH("Bypass",$L117))),1.5,1)</f>
        <v>0</v>
      </c>
      <c r="Y117" s="17" cm="1">
        <f t="array" ref="Y117">$H117 *
IF(ISNUMBER(SEARCH("Rapid",$L117)),7/6,1) *
IF(OR(ISNUMBER(SEARCH("Beam",$L117)),ISNUMBER(SEARCH("Firestorm",$L117))),1, IF(ISNUMBER(SEARCH("Blast",$L117)),(4+$F117+(2-$F117)*0.5)/6*2,(4+$F117)/6)) *
IF(ISNUMBER(SEARCH("Fusion",$L117)), _xlfn.IFS(Y$24-$I117 &lt;=1, 9/10, Y$24-$I117 &lt;=10,(11-(Y$24-$I117))/10, Y$24-$I117 &gt;=11, 0),
_xlfn.IFS(Y$24-$I117 &lt;=1, 5/6, Y$24-$I117 &lt;=5, (7-(Y$24-$I117))/6, AND(Y$24-$I117 =6,NOT(_xlfn.IFNA(ISNUMBER(SEARCH("Rending",$L117)),FALSE))), (7-(Y$24-$I117))/6, AND(Y$24-$I117 &gt;=7,NOT(_xlfn.IFNA(ISNUMBER(SEARCH("Rending",$L117)),FALSE))), 0, Y$24-$I117 =7, (7-(Y$24-1-$I117))/6, Y$24-$I117 =8, (7-(Y$24-2-$I117))/6*2/3, Y$24-$I117 =9, (7-(Y$24-3-$I117))/6*1/3, TRUE, 0)) *
IF(ISNUMBER(SEARCH("Ordinance",$L117)),7/6,1) *
IF(OR(ISNUMBER(SEARCH("Melee",$L117)),ISNUMBER(SEARCH("Bypass",$L117))),1.5,1)</f>
        <v>0</v>
      </c>
      <c r="Z117" s="17" cm="1">
        <f t="array" ref="Z117">$H117 *
IF(ISNUMBER(SEARCH("Rapid",$L117)),7/6,1) *
IF(OR(ISNUMBER(SEARCH("Beam",$L117)),ISNUMBER(SEARCH("Firestorm",$L117))),1, IF(ISNUMBER(SEARCH("Blast",$L117)),(4+$F117+(2-$F117)*0.5)/6*2,(4+$F117)/6)) *
IF(ISNUMBER(SEARCH("Fusion",$L117)), _xlfn.IFS(Z$24-$I117 &lt;=1, 9/10, Z$24-$I117 &lt;=10,(11-(Z$24-$I117))/10, Z$24-$I117 &gt;=11, 0),
_xlfn.IFS(Z$24-$I117 &lt;=1, 5/6, Z$24-$I117 &lt;=5, (7-(Z$24-$I117))/6, AND(Z$24-$I117 =6,NOT(_xlfn.IFNA(ISNUMBER(SEARCH("Rending",$L117)),FALSE))), (7-(Z$24-$I117))/6, AND(Z$24-$I117 &gt;=7,NOT(_xlfn.IFNA(ISNUMBER(SEARCH("Rending",$L117)),FALSE))), 0, Z$24-$I117 =7, (7-(Z$24-1-$I117))/6, Z$24-$I117 =8, (7-(Z$24-2-$I117))/6*2/3, Z$24-$I117 =9, (7-(Z$24-3-$I117))/6*1/3, TRUE, 0)) *
IF(ISNUMBER(SEARCH("Ordinance",$L117)),7/6,1) *
IF(OR(ISNUMBER(SEARCH("Melee",$L117)),ISNUMBER(SEARCH("Bypass",$L117))),1.5,1)</f>
        <v>0</v>
      </c>
      <c r="AA117" s="17" cm="1">
        <f t="array" ref="AA117">$H117 *
IF(ISNUMBER(SEARCH("Rapid",$L117)),7/6,1) *
IF(OR(ISNUMBER(SEARCH("Beam",$L117)),ISNUMBER(SEARCH("Firestorm",$L117))),1, IF(ISNUMBER(SEARCH("Blast",$L117)),(4+$F117+(2-$F117)*0.5)/6*2,(4+$F117)/6)) *
IF(ISNUMBER(SEARCH("Fusion",$L117)), _xlfn.IFS(AA$24-$I117 &lt;=1, 9/10, AA$24-$I117 &lt;=10,(11-(AA$24-$I117))/10, AA$24-$I117 &gt;=11, 0),
_xlfn.IFS(AA$24-$I117 &lt;=1, 5/6, AA$24-$I117 &lt;=5, (7-(AA$24-$I117))/6, AND(AA$24-$I117 =6,NOT(_xlfn.IFNA(ISNUMBER(SEARCH("Rending",$L117)),FALSE))), (7-(AA$24-$I117))/6, AND(AA$24-$I117 &gt;=7,NOT(_xlfn.IFNA(ISNUMBER(SEARCH("Rending",$L117)),FALSE))), 0, AA$24-$I117 =7, (7-(AA$24-1-$I117))/6, AA$24-$I117 =8, (7-(AA$24-2-$I117))/6*2/3, AA$24-$I117 =9, (7-(AA$24-3-$I117))/6*1/3, TRUE, 0)) *
IF(ISNUMBER(SEARCH("Ordinance",$L117)),7/6,1) *
IF(OR(ISNUMBER(SEARCH("Melee",$L117)),ISNUMBER(SEARCH("Bypass",$L117))),1.5,1)</f>
        <v>0</v>
      </c>
      <c r="AB117" s="17" cm="1">
        <f t="array" ref="AB117">$H117 *
IF(ISNUMBER(SEARCH("Rapid",$L117)),7/6,1) *
IF(OR(ISNUMBER(SEARCH("Beam",$L117)),ISNUMBER(SEARCH("Firestorm",$L117))),1, IF(ISNUMBER(SEARCH("Blast",$L117)),(4+$F117+(2-$F117)*0.5)/6*2,(4+$F117)/6)) *
IF(ISNUMBER(SEARCH("Fusion",$L117)), _xlfn.IFS(AB$24-$I117 &lt;=1, 9/10, AB$24-$I117 &lt;=10,(11-(AB$24-$I117))/10, AB$24-$I117 &gt;=11, 0),
_xlfn.IFS(AB$24-$I117 &lt;=1, 5/6, AB$24-$I117 &lt;=5, (7-(AB$24-$I117))/6, AND(AB$24-$I117 =6,NOT(_xlfn.IFNA(ISNUMBER(SEARCH("Rending",$L117)),FALSE))), (7-(AB$24-$I117))/6, AND(AB$24-$I117 &gt;=7,NOT(_xlfn.IFNA(ISNUMBER(SEARCH("Rending",$L117)),FALSE))), 0, AB$24-$I117 =7, (7-(AB$24-1-$I117))/6, AB$24-$I117 =8, (7-(AB$24-2-$I117))/6*2/3, AB$24-$I117 =9, (7-(AB$24-3-$I117))/6*1/3, TRUE, 0)) *
IF(ISNUMBER(SEARCH("Ordinance",$L117)),7/6,1) *
IF(OR(ISNUMBER(SEARCH("Melee",$L117)),ISNUMBER(SEARCH("Bypass",$L117))),1.5,1)</f>
        <v>0</v>
      </c>
      <c r="AC117" s="17" cm="1">
        <f t="array" ref="AC117">$H117 *
IF(ISNUMBER(SEARCH("Rapid",$L117)),7/6,1) *
IF(OR(ISNUMBER(SEARCH("Beam",$L117)),ISNUMBER(SEARCH("Firestorm",$L117))),1, IF(ISNUMBER(SEARCH("Blast",$L117)),(4+$F117+(2-$F117)*0.5)/6*2,(4+$F117)/6)) *
IF(ISNUMBER(SEARCH("Fusion",$L117)), _xlfn.IFS(AC$24-$I117 &lt;=1, 9/10, AC$24-$I117 &lt;=10,(11-(AC$24-$I117))/10, AC$24-$I117 &gt;=11, 0),
_xlfn.IFS(AC$24-$I117 &lt;=1, 5/6, AC$24-$I117 &lt;=5, (7-(AC$24-$I117))/6, AND(AC$24-$I117 =6,NOT(_xlfn.IFNA(ISNUMBER(SEARCH("Rending",$L117)),FALSE))), (7-(AC$24-$I117))/6, AND(AC$24-$I117 &gt;=7,NOT(_xlfn.IFNA(ISNUMBER(SEARCH("Rending",$L117)),FALSE))), 0, AC$24-$I117 =7, (7-(AC$24-1-$I117))/6, AC$24-$I117 =8, (7-(AC$24-2-$I117))/6*2/3, AC$24-$I117 =9, (7-(AC$24-3-$I117))/6*1/3, TRUE, 0)) *
IF(ISNUMBER(SEARCH("Ordinance",$L117)),7/6,1) *
IF(OR(ISNUMBER(SEARCH("Melee",$L117)),ISNUMBER(SEARCH("Bypass",$L117))),1.5,1)</f>
        <v>0</v>
      </c>
      <c r="AD117" s="17" cm="1">
        <f t="array" ref="AD117">$H117 *
IF(ISNUMBER(SEARCH("Rapid",$L117)),7/6,1) *
IF(OR(ISNUMBER(SEARCH("Beam",$L117)),ISNUMBER(SEARCH("Firestorm",$L117))),1, IF(ISNUMBER(SEARCH("Blast",$L117)),(4+$F117+(2-$F117)*0.5)/6*2,(4+$F117)/6)) *
IF(ISNUMBER(SEARCH("Fusion",$L117)), _xlfn.IFS(AD$24-$I117 &lt;=1, 9/10, AD$24-$I117 &lt;=10,(11-(AD$24-$I117))/10, AD$24-$I117 &gt;=11, 0),
_xlfn.IFS(AD$24-$I117 &lt;=1, 5/6, AD$24-$I117 &lt;=5, (7-(AD$24-$I117))/6, AND(AD$24-$I117 =6,NOT(_xlfn.IFNA(ISNUMBER(SEARCH("Rending",$L117)),FALSE))), (7-(AD$24-$I117))/6, AND(AD$24-$I117 &gt;=7,NOT(_xlfn.IFNA(ISNUMBER(SEARCH("Rending",$L117)),FALSE))), 0, AD$24-$I117 =7, (7-(AD$24-1-$I117))/6, AD$24-$I117 =8, (7-(AD$24-2-$I117))/6*2/3, AD$24-$I117 =9, (7-(AD$24-3-$I117))/6*1/3, TRUE, 0)) *
IF(ISNUMBER(SEARCH("Ordinance",$L117)),7/6,1) *
IF(OR(ISNUMBER(SEARCH("Melee",$L117)),ISNUMBER(SEARCH("Bypass",$L117))),1.5,1)</f>
        <v>0</v>
      </c>
      <c r="AE117" s="17" cm="1">
        <f t="array" ref="AE117">$H117 *
IF(ISNUMBER(SEARCH("Rapid",$L117)),7/6,1) *
IF(OR(ISNUMBER(SEARCH("Beam",$L117)),ISNUMBER(SEARCH("Firestorm",$L117))),1, IF(ISNUMBER(SEARCH("Blast",$L117)),(4+$F117+(2-$F117)*0.5)/6*2,(4+$F117)/6)) *
IF(ISNUMBER(SEARCH("Fusion",$L117)), _xlfn.IFS(AE$24-$I117 &lt;=1, 9/10, AE$24-$I117 &lt;=10,(11-(AE$24-$I117))/10, AE$24-$I117 &gt;=11, 0),
_xlfn.IFS(AE$24-$I117 &lt;=1, 5/6, AE$24-$I117 &lt;=5, (7-(AE$24-$I117))/6, AND(AE$24-$I117 =6,NOT(_xlfn.IFNA(ISNUMBER(SEARCH("Rending",$L117)),FALSE))), (7-(AE$24-$I117))/6, AND(AE$24-$I117 &gt;=7,NOT(_xlfn.IFNA(ISNUMBER(SEARCH("Rending",$L117)),FALSE))), 0, AE$24-$I117 =7, (7-(AE$24-1-$I117))/6, AE$24-$I117 =8, (7-(AE$24-2-$I117))/6*2/3, AE$24-$I117 =9, (7-(AE$24-3-$I117))/6*1/3, TRUE, 0)) *
IF(ISNUMBER(SEARCH("Ordinance",$L117)),7/6,1) *
IF(OR(ISNUMBER(SEARCH("Melee",$L117)),ISNUMBER(SEARCH("Bypass",$L117))),1.5,1)</f>
        <v>0</v>
      </c>
      <c r="AF117" s="17" cm="1">
        <f t="array" ref="AF117">$H117 *
IF(ISNUMBER(SEARCH("Rapid",$L117)),7/6,1) *
IF(OR(ISNUMBER(SEARCH("Beam",$L117)),ISNUMBER(SEARCH("Firestorm",$L117))),1, IF(ISNUMBER(SEARCH("Blast",$L117)),(4+$F117+(2-$F117)*0.5)/6*2,(4+$F117)/6)) *
IF(ISNUMBER(SEARCH("Fusion",$L117)), _xlfn.IFS(AF$24-$I117 &lt;=1, 9/10, AF$24-$I117 &lt;=10,(11-(AF$24-$I117))/10, AF$24-$I117 &gt;=11, 0),
_xlfn.IFS(AF$24-$I117 &lt;=1, 5/6, AF$24-$I117 &lt;=5, (7-(AF$24-$I117))/6, AND(AF$24-$I117 =6,NOT(_xlfn.IFNA(ISNUMBER(SEARCH("Rending",$L117)),FALSE))), (7-(AF$24-$I117))/6, AND(AF$24-$I117 &gt;=7,NOT(_xlfn.IFNA(ISNUMBER(SEARCH("Rending",$L117)),FALSE))), 0, AF$24-$I117 =7, (7-(AF$24-1-$I117))/6, AF$24-$I117 =8, (7-(AF$24-2-$I117))/6*2/3, AF$24-$I117 =9, (7-(AF$24-3-$I117))/6*1/3, TRUE, 0)) *
IF(ISNUMBER(SEARCH("Ordinance",$L117)),7/6,1) *
IF(OR(ISNUMBER(SEARCH("Melee",$L117)),ISNUMBER(SEARCH("Bypass",$L117))),1.5,1)</f>
        <v>0</v>
      </c>
      <c r="AG117" s="16">
        <f t="shared" si="22"/>
        <v>0</v>
      </c>
      <c r="AH117" s="16">
        <f t="shared" si="23"/>
        <v>0</v>
      </c>
      <c r="AI117" s="17" cm="1">
        <f t="array" ref="AI117">$H117 *
IF(ISNUMBER(SEARCH("Rapid",$L117)),7/6,1) *
IF(OR(ISNUMBER(SEARCH("Beam",$L117)),ISNUMBER(SEARCH("Firestorm",$L117))),1, IF(ISNUMBER(SEARCH("Blast",$L117)),(4+$G117+(2-$G117)*0.5)/6*2,(4+$G117)/6)) *
_xlfn.IFS(AI$24-$I117 &lt;=1, 5/6, AI$24-$I117 &lt;=5, (7-(AI$24-$I117))/6, AND(AI$24-$I117 =6,NOT(_xlfn.IFNA(ISNUMBER(SEARCH("Rending",$L117)),FALSE))), (7-(AI$24-$I117))/6, AND(AI$24-$I117 &gt;=7,NOT(_xlfn.IFNA(ISNUMBER(SEARCH("Rending",$L117)),FALSE))), 0, AI$24-$I117 =7, (7-(AI$24-1-$I117))/6, AI$24-$I117 =8, (7-(AI$24-2-$I117))/6*2/3, AI$24-$I117 =9, (7-(AI$24-3-$I117))/6*1/3, TRUE, 0) *
IF(ISNUMBER(SEARCH("Ordinance",$L117)),7/6,1) *
IF(OR(ISNUMBER(SEARCH("Melee",$L117)),ISNUMBER(SEARCH("Bypass",$L117))),1.5,1)</f>
        <v>0</v>
      </c>
      <c r="AJ117" s="17" cm="1">
        <f t="array" ref="AJ117">$H117 *
IF(ISNUMBER(SEARCH("Rapid",$L117)),7/6,1) *
IF(OR(ISNUMBER(SEARCH("Beam",$L117)),ISNUMBER(SEARCH("Firestorm",$L117))),1, IF(ISNUMBER(SEARCH("Blast",$L117)),(4+$G117+(2-$G117)*0.5)/6*2,(4+$G117)/6)) *
_xlfn.IFS(AJ$24-$I117 &lt;=1, 5/6, AJ$24-$I117 &lt;=5, (7-(AJ$24-$I117))/6, AND(AJ$24-$I117 =6,NOT(_xlfn.IFNA(ISNUMBER(SEARCH("Rending",$L117)),FALSE))), (7-(AJ$24-$I117))/6, AND(AJ$24-$I117 &gt;=7,NOT(_xlfn.IFNA(ISNUMBER(SEARCH("Rending",$L117)),FALSE))), 0, AJ$24-$I117 =7, (7-(AJ$24-1-$I117))/6, AJ$24-$I117 =8, (7-(AJ$24-2-$I117))/6*2/3, AJ$24-$I117 =9, (7-(AJ$24-3-$I117))/6*1/3, TRUE, 0) *
IF(ISNUMBER(SEARCH("Ordinance",$L117)),7/6,1) *
IF(OR(ISNUMBER(SEARCH("Melee",$L117)),ISNUMBER(SEARCH("Bypass",$L117))),1.5,1)</f>
        <v>0</v>
      </c>
      <c r="AK117" s="17" cm="1">
        <f t="array" ref="AK117">$H117 *
IF(ISNUMBER(SEARCH("Rapid",$L117)),7/6,1) *
IF(OR(ISNUMBER(SEARCH("Beam",$L117)),ISNUMBER(SEARCH("Firestorm",$L117))),1, IF(ISNUMBER(SEARCH("Blast",$L117)),(4+$G117+(2-$G117)*0.5)/6*2,(4+$G117)/6)) *
_xlfn.IFS(AK$24-$I117 &lt;=1, 5/6, AK$24-$I117 &lt;=5, (7-(AK$24-$I117))/6, AND(AK$24-$I117 =6,NOT(_xlfn.IFNA(ISNUMBER(SEARCH("Rending",$L117)),FALSE))), (7-(AK$24-$I117))/6, AND(AK$24-$I117 &gt;=7,NOT(_xlfn.IFNA(ISNUMBER(SEARCH("Rending",$L117)),FALSE))), 0, AK$24-$I117 =7, (7-(AK$24-1-$I117))/6, AK$24-$I117 =8, (7-(AK$24-2-$I117))/6*2/3, AK$24-$I117 =9, (7-(AK$24-3-$I117))/6*1/3, TRUE, 0) *
IF(ISNUMBER(SEARCH("Ordinance",$L117)),7/6,1) *
IF(OR(ISNUMBER(SEARCH("Melee",$L117)),ISNUMBER(SEARCH("Bypass",$L117))),1.5,1)</f>
        <v>0</v>
      </c>
      <c r="AL117" s="17" cm="1">
        <f t="array" ref="AL117">$H117 *
IF(ISNUMBER(SEARCH("Rapid",$L117)),7/6,1) *
IF(OR(ISNUMBER(SEARCH("Beam",$L117)),ISNUMBER(SEARCH("Firestorm",$L117))),1, IF(ISNUMBER(SEARCH("Blast",$L117)),(4+$G117+(2-$G117)*0.5)/6*2,(4+$G117)/6)) *
_xlfn.IFS(AL$24-$I117 &lt;=1, 5/6, AL$24-$I117 &lt;=5, (7-(AL$24-$I117))/6, AND(AL$24-$I117 =6,NOT(_xlfn.IFNA(ISNUMBER(SEARCH("Rending",$L117)),FALSE))), (7-(AL$24-$I117))/6, AND(AL$24-$I117 &gt;=7,NOT(_xlfn.IFNA(ISNUMBER(SEARCH("Rending",$L117)),FALSE))), 0, AL$24-$I117 =7, (7-(AL$24-1-$I117))/6, AL$24-$I117 =8, (7-(AL$24-2-$I117))/6*2/3, AL$24-$I117 =9, (7-(AL$24-3-$I117))/6*1/3, TRUE, 0) *
IF(ISNUMBER(SEARCH("Ordinance",$L117)),7/6,1) *
IF(OR(ISNUMBER(SEARCH("Melee",$L117)),ISNUMBER(SEARCH("Bypass",$L117))),1.5,1)</f>
        <v>0</v>
      </c>
      <c r="AM117" s="17" cm="1">
        <f t="array" ref="AM117">$H117 *
IF(ISNUMBER(SEARCH("Rapid",$L117)),7/6,1) *
IF(OR(ISNUMBER(SEARCH("Beam",$L117)),ISNUMBER(SEARCH("Firestorm",$L117))),1, IF(ISNUMBER(SEARCH("Blast",$L117)),(4+$G117+(2-$G117)*0.5)/6*2,(4+$G117)/6)) *
_xlfn.IFS(AM$24-$I117 &lt;=1, 5/6, AM$24-$I117 &lt;=5, (7-(AM$24-$I117))/6, AND(AM$24-$I117 =6,NOT(_xlfn.IFNA(ISNUMBER(SEARCH("Rending",$L117)),FALSE))), (7-(AM$24-$I117))/6, AND(AM$24-$I117 &gt;=7,NOT(_xlfn.IFNA(ISNUMBER(SEARCH("Rending",$L117)),FALSE))), 0, AM$24-$I117 =7, (7-(AM$24-1-$I117))/6, AM$24-$I117 =8, (7-(AM$24-2-$I117))/6*2/3, AM$24-$I117 =9, (7-(AM$24-3-$I117))/6*1/3, TRUE, 0) *
IF(ISNUMBER(SEARCH("Ordinance",$L117)),7/6,1) *
IF(OR(ISNUMBER(SEARCH("Melee",$L117)),ISNUMBER(SEARCH("Bypass",$L117))),1.5,1)</f>
        <v>0</v>
      </c>
      <c r="AN117" s="17" cm="1">
        <f t="array" ref="AN117">$H117 *
IF(ISNUMBER(SEARCH("Rapid",$L117)),7/6,1) *
IF(OR(ISNUMBER(SEARCH("Beam",$L117)),ISNUMBER(SEARCH("Firestorm",$L117))),1, IF(ISNUMBER(SEARCH("Blast",$L117)),(4+$G117+(2-$G117)*0.5)/6*2,(4+$G117)/6)) *
_xlfn.IFS(AN$24-$I117 &lt;=1, 5/6, AN$24-$I117 &lt;=5, (7-(AN$24-$I117))/6, AND(AN$24-$I117 =6,NOT(_xlfn.IFNA(ISNUMBER(SEARCH("Rending",$L117)),FALSE))), (7-(AN$24-$I117))/6, AND(AN$24-$I117 &gt;=7,NOT(_xlfn.IFNA(ISNUMBER(SEARCH("Rending",$L117)),FALSE))), 0, AN$24-$I117 =7, (7-(AN$24-1-$I117))/6, AN$24-$I117 =8, (7-(AN$24-2-$I117))/6*2/3, AN$24-$I117 =9, (7-(AN$24-3-$I117))/6*1/3, TRUE, 0) *
IF(ISNUMBER(SEARCH("Ordinance",$L117)),7/6,1) *
IF(OR(ISNUMBER(SEARCH("Melee",$L117)),ISNUMBER(SEARCH("Bypass",$L117))),1.5,1)</f>
        <v>0</v>
      </c>
      <c r="AO117" s="17" cm="1">
        <f t="array" ref="AO117">$H117 *
IF(ISNUMBER(SEARCH("Rapid",$L117)),7/6,1) *
IF(OR(ISNUMBER(SEARCH("Beam",$L117)),ISNUMBER(SEARCH("Firestorm",$L117))),1, IF(ISNUMBER(SEARCH("Blast",$L117)),(4+$G117+(2-$G117)*0.5)/6*2,(4+$G117)/6)) *
_xlfn.IFS(AO$24-$I117 &lt;=1, 5/6, AO$24-$I117 &lt;=5, (7-(AO$24-$I117))/6, AND(AO$24-$I117 =6,NOT(_xlfn.IFNA(ISNUMBER(SEARCH("Rending",$L117)),FALSE))), (7-(AO$24-$I117))/6, AND(AO$24-$I117 &gt;=7,NOT(_xlfn.IFNA(ISNUMBER(SEARCH("Rending",$L117)),FALSE))), 0, AO$24-$I117 =7, (7-(AO$24-1-$I117))/6, AO$24-$I117 =8, (7-(AO$24-2-$I117))/6*2/3, AO$24-$I117 =9, (7-(AO$24-3-$I117))/6*1/3, TRUE, 0) *
IF(ISNUMBER(SEARCH("Ordinance",$L117)),7/6,1) *
IF(OR(ISNUMBER(SEARCH("Melee",$L117)),ISNUMBER(SEARCH("Bypass",$L117))),1.5,1)</f>
        <v>0</v>
      </c>
      <c r="AP117" s="17" cm="1">
        <f t="array" ref="AP117">$H117 *
IF(ISNUMBER(SEARCH("Rapid",$L117)),7/6,1) *
IF(OR(ISNUMBER(SEARCH("Beam",$L117)),ISNUMBER(SEARCH("Firestorm",$L117))),1, IF(ISNUMBER(SEARCH("Blast",$L117)),(4+$G117+(2-$G117)*0.5)/6*2,(4+$G117)/6)) *
_xlfn.IFS(AP$24-$I117 &lt;=1, 5/6, AP$24-$I117 &lt;=5, (7-(AP$24-$I117))/6, AND(AP$24-$I117 =6,NOT(_xlfn.IFNA(ISNUMBER(SEARCH("Rending",$L117)),FALSE))), (7-(AP$24-$I117))/6, AND(AP$24-$I117 &gt;=7,NOT(_xlfn.IFNA(ISNUMBER(SEARCH("Rending",$L117)),FALSE))), 0, AP$24-$I117 =7, (7-(AP$24-1-$I117))/6, AP$24-$I117 =8, (7-(AP$24-2-$I117))/6*2/3, AP$24-$I117 =9, (7-(AP$24-3-$I117))/6*1/3, TRUE, 0) *
IF(ISNUMBER(SEARCH("Ordinance",$L117)),7/6,1) *
IF(OR(ISNUMBER(SEARCH("Melee",$L117)),ISNUMBER(SEARCH("Bypass",$L117))),1.5,1)</f>
        <v>0</v>
      </c>
      <c r="AQ117" s="17" cm="1">
        <f t="array" ref="AQ117">$H117 *
IF(ISNUMBER(SEARCH("Rapid",$L117)),7/6,1) *
IF(OR(ISNUMBER(SEARCH("Beam",$L117)),ISNUMBER(SEARCH("Firestorm",$L117))),1, IF(ISNUMBER(SEARCH("Blast",$L117)),(4+$G117+(2-$G117)*0.5)/6*2,(4+$G117)/6)) *
_xlfn.IFS(AQ$24-$I117 &lt;=1, 5/6, AQ$24-$I117 &lt;=5, (7-(AQ$24-$I117))/6, AND(AQ$24-$I117 =6,NOT(_xlfn.IFNA(ISNUMBER(SEARCH("Rending",$L117)),FALSE))), (7-(AQ$24-$I117))/6, AND(AQ$24-$I117 &gt;=7,NOT(_xlfn.IFNA(ISNUMBER(SEARCH("Rending",$L117)),FALSE))), 0, AQ$24-$I117 =7, (7-(AQ$24-1-$I117))/6, AQ$24-$I117 =8, (7-(AQ$24-2-$I117))/6*2/3, AQ$24-$I117 =9, (7-(AQ$24-3-$I117))/6*1/3, TRUE, 0) *
IF(ISNUMBER(SEARCH("Ordinance",$L117)),7/6,1) *
IF(OR(ISNUMBER(SEARCH("Melee",$L117)),ISNUMBER(SEARCH("Bypass",$L117))),1.5,1)</f>
        <v>0</v>
      </c>
    </row>
    <row r="118" spans="1:48" x14ac:dyDescent="0.3">
      <c r="V118" s="16">
        <f t="shared" si="20"/>
        <v>0</v>
      </c>
      <c r="W118" s="16">
        <f t="shared" si="21"/>
        <v>0</v>
      </c>
      <c r="X118" s="17" cm="1">
        <f t="array" ref="X118">$H118 *
IF(ISNUMBER(SEARCH("Rapid",$L118)),7/6,1) *
IF(OR(ISNUMBER(SEARCH("Beam",$L118)),ISNUMBER(SEARCH("Firestorm",$L118))),1, IF(ISNUMBER(SEARCH("Blast",$L118)),(4+$F118+(2-$F118)*0.5)/6*2,(4+$F118)/6)) *
IF(ISNUMBER(SEARCH("Fusion",$L118)), _xlfn.IFS(X$24-$I118 &lt;=1, 9/10, X$24-$I118 &lt;=10,(11-(X$24-$I118))/10, X$24-$I118 &gt;=11, 0),
_xlfn.IFS(X$24-$I118 &lt;=1, 5/6, X$24-$I118 &lt;=5, (7-(X$24-$I118))/6, AND(X$24-$I118 =6,NOT(_xlfn.IFNA(ISNUMBER(SEARCH("Rending",$L118)),FALSE))), (7-(X$24-$I118))/6, AND(X$24-$I118 &gt;=7,NOT(_xlfn.IFNA(ISNUMBER(SEARCH("Rending",$L118)),FALSE))), 0, X$24-$I118 =7, (7-(X$24-1-$I118))/6, X$24-$I118 =8, (7-(X$24-2-$I118))/6*2/3, X$24-$I118 =9, (7-(X$24-3-$I118))/6*1/3, TRUE, 0)) *
IF(ISNUMBER(SEARCH("Ordinance",$L118)),7/6,1) *
IF(OR(ISNUMBER(SEARCH("Melee",$L118)),ISNUMBER(SEARCH("Bypass",$L118))),1.5,1)</f>
        <v>0</v>
      </c>
      <c r="Y118" s="17" cm="1">
        <f t="array" ref="Y118">$H118 *
IF(ISNUMBER(SEARCH("Rapid",$L118)),7/6,1) *
IF(OR(ISNUMBER(SEARCH("Beam",$L118)),ISNUMBER(SEARCH("Firestorm",$L118))),1, IF(ISNUMBER(SEARCH("Blast",$L118)),(4+$F118+(2-$F118)*0.5)/6*2,(4+$F118)/6)) *
IF(ISNUMBER(SEARCH("Fusion",$L118)), _xlfn.IFS(Y$24-$I118 &lt;=1, 9/10, Y$24-$I118 &lt;=10,(11-(Y$24-$I118))/10, Y$24-$I118 &gt;=11, 0),
_xlfn.IFS(Y$24-$I118 &lt;=1, 5/6, Y$24-$I118 &lt;=5, (7-(Y$24-$I118))/6, AND(Y$24-$I118 =6,NOT(_xlfn.IFNA(ISNUMBER(SEARCH("Rending",$L118)),FALSE))), (7-(Y$24-$I118))/6, AND(Y$24-$I118 &gt;=7,NOT(_xlfn.IFNA(ISNUMBER(SEARCH("Rending",$L118)),FALSE))), 0, Y$24-$I118 =7, (7-(Y$24-1-$I118))/6, Y$24-$I118 =8, (7-(Y$24-2-$I118))/6*2/3, Y$24-$I118 =9, (7-(Y$24-3-$I118))/6*1/3, TRUE, 0)) *
IF(ISNUMBER(SEARCH("Ordinance",$L118)),7/6,1) *
IF(OR(ISNUMBER(SEARCH("Melee",$L118)),ISNUMBER(SEARCH("Bypass",$L118))),1.5,1)</f>
        <v>0</v>
      </c>
      <c r="Z118" s="17" cm="1">
        <f t="array" ref="Z118">$H118 *
IF(ISNUMBER(SEARCH("Rapid",$L118)),7/6,1) *
IF(OR(ISNUMBER(SEARCH("Beam",$L118)),ISNUMBER(SEARCH("Firestorm",$L118))),1, IF(ISNUMBER(SEARCH("Blast",$L118)),(4+$F118+(2-$F118)*0.5)/6*2,(4+$F118)/6)) *
IF(ISNUMBER(SEARCH("Fusion",$L118)), _xlfn.IFS(Z$24-$I118 &lt;=1, 9/10, Z$24-$I118 &lt;=10,(11-(Z$24-$I118))/10, Z$24-$I118 &gt;=11, 0),
_xlfn.IFS(Z$24-$I118 &lt;=1, 5/6, Z$24-$I118 &lt;=5, (7-(Z$24-$I118))/6, AND(Z$24-$I118 =6,NOT(_xlfn.IFNA(ISNUMBER(SEARCH("Rending",$L118)),FALSE))), (7-(Z$24-$I118))/6, AND(Z$24-$I118 &gt;=7,NOT(_xlfn.IFNA(ISNUMBER(SEARCH("Rending",$L118)),FALSE))), 0, Z$24-$I118 =7, (7-(Z$24-1-$I118))/6, Z$24-$I118 =8, (7-(Z$24-2-$I118))/6*2/3, Z$24-$I118 =9, (7-(Z$24-3-$I118))/6*1/3, TRUE, 0)) *
IF(ISNUMBER(SEARCH("Ordinance",$L118)),7/6,1) *
IF(OR(ISNUMBER(SEARCH("Melee",$L118)),ISNUMBER(SEARCH("Bypass",$L118))),1.5,1)</f>
        <v>0</v>
      </c>
      <c r="AA118" s="17" cm="1">
        <f t="array" ref="AA118">$H118 *
IF(ISNUMBER(SEARCH("Rapid",$L118)),7/6,1) *
IF(OR(ISNUMBER(SEARCH("Beam",$L118)),ISNUMBER(SEARCH("Firestorm",$L118))),1, IF(ISNUMBER(SEARCH("Blast",$L118)),(4+$F118+(2-$F118)*0.5)/6*2,(4+$F118)/6)) *
IF(ISNUMBER(SEARCH("Fusion",$L118)), _xlfn.IFS(AA$24-$I118 &lt;=1, 9/10, AA$24-$I118 &lt;=10,(11-(AA$24-$I118))/10, AA$24-$I118 &gt;=11, 0),
_xlfn.IFS(AA$24-$I118 &lt;=1, 5/6, AA$24-$I118 &lt;=5, (7-(AA$24-$I118))/6, AND(AA$24-$I118 =6,NOT(_xlfn.IFNA(ISNUMBER(SEARCH("Rending",$L118)),FALSE))), (7-(AA$24-$I118))/6, AND(AA$24-$I118 &gt;=7,NOT(_xlfn.IFNA(ISNUMBER(SEARCH("Rending",$L118)),FALSE))), 0, AA$24-$I118 =7, (7-(AA$24-1-$I118))/6, AA$24-$I118 =8, (7-(AA$24-2-$I118))/6*2/3, AA$24-$I118 =9, (7-(AA$24-3-$I118))/6*1/3, TRUE, 0)) *
IF(ISNUMBER(SEARCH("Ordinance",$L118)),7/6,1) *
IF(OR(ISNUMBER(SEARCH("Melee",$L118)),ISNUMBER(SEARCH("Bypass",$L118))),1.5,1)</f>
        <v>0</v>
      </c>
      <c r="AB118" s="17" cm="1">
        <f t="array" ref="AB118">$H118 *
IF(ISNUMBER(SEARCH("Rapid",$L118)),7/6,1) *
IF(OR(ISNUMBER(SEARCH("Beam",$L118)),ISNUMBER(SEARCH("Firestorm",$L118))),1, IF(ISNUMBER(SEARCH("Blast",$L118)),(4+$F118+(2-$F118)*0.5)/6*2,(4+$F118)/6)) *
IF(ISNUMBER(SEARCH("Fusion",$L118)), _xlfn.IFS(AB$24-$I118 &lt;=1, 9/10, AB$24-$I118 &lt;=10,(11-(AB$24-$I118))/10, AB$24-$I118 &gt;=11, 0),
_xlfn.IFS(AB$24-$I118 &lt;=1, 5/6, AB$24-$I118 &lt;=5, (7-(AB$24-$I118))/6, AND(AB$24-$I118 =6,NOT(_xlfn.IFNA(ISNUMBER(SEARCH("Rending",$L118)),FALSE))), (7-(AB$24-$I118))/6, AND(AB$24-$I118 &gt;=7,NOT(_xlfn.IFNA(ISNUMBER(SEARCH("Rending",$L118)),FALSE))), 0, AB$24-$I118 =7, (7-(AB$24-1-$I118))/6, AB$24-$I118 =8, (7-(AB$24-2-$I118))/6*2/3, AB$24-$I118 =9, (7-(AB$24-3-$I118))/6*1/3, TRUE, 0)) *
IF(ISNUMBER(SEARCH("Ordinance",$L118)),7/6,1) *
IF(OR(ISNUMBER(SEARCH("Melee",$L118)),ISNUMBER(SEARCH("Bypass",$L118))),1.5,1)</f>
        <v>0</v>
      </c>
      <c r="AC118" s="17" cm="1">
        <f t="array" ref="AC118">$H118 *
IF(ISNUMBER(SEARCH("Rapid",$L118)),7/6,1) *
IF(OR(ISNUMBER(SEARCH("Beam",$L118)),ISNUMBER(SEARCH("Firestorm",$L118))),1, IF(ISNUMBER(SEARCH("Blast",$L118)),(4+$F118+(2-$F118)*0.5)/6*2,(4+$F118)/6)) *
IF(ISNUMBER(SEARCH("Fusion",$L118)), _xlfn.IFS(AC$24-$I118 &lt;=1, 9/10, AC$24-$I118 &lt;=10,(11-(AC$24-$I118))/10, AC$24-$I118 &gt;=11, 0),
_xlfn.IFS(AC$24-$I118 &lt;=1, 5/6, AC$24-$I118 &lt;=5, (7-(AC$24-$I118))/6, AND(AC$24-$I118 =6,NOT(_xlfn.IFNA(ISNUMBER(SEARCH("Rending",$L118)),FALSE))), (7-(AC$24-$I118))/6, AND(AC$24-$I118 &gt;=7,NOT(_xlfn.IFNA(ISNUMBER(SEARCH("Rending",$L118)),FALSE))), 0, AC$24-$I118 =7, (7-(AC$24-1-$I118))/6, AC$24-$I118 =8, (7-(AC$24-2-$I118))/6*2/3, AC$24-$I118 =9, (7-(AC$24-3-$I118))/6*1/3, TRUE, 0)) *
IF(ISNUMBER(SEARCH("Ordinance",$L118)),7/6,1) *
IF(OR(ISNUMBER(SEARCH("Melee",$L118)),ISNUMBER(SEARCH("Bypass",$L118))),1.5,1)</f>
        <v>0</v>
      </c>
      <c r="AD118" s="17" cm="1">
        <f t="array" ref="AD118">$H118 *
IF(ISNUMBER(SEARCH("Rapid",$L118)),7/6,1) *
IF(OR(ISNUMBER(SEARCH("Beam",$L118)),ISNUMBER(SEARCH("Firestorm",$L118))),1, IF(ISNUMBER(SEARCH("Blast",$L118)),(4+$F118+(2-$F118)*0.5)/6*2,(4+$F118)/6)) *
IF(ISNUMBER(SEARCH("Fusion",$L118)), _xlfn.IFS(AD$24-$I118 &lt;=1, 9/10, AD$24-$I118 &lt;=10,(11-(AD$24-$I118))/10, AD$24-$I118 &gt;=11, 0),
_xlfn.IFS(AD$24-$I118 &lt;=1, 5/6, AD$24-$I118 &lt;=5, (7-(AD$24-$I118))/6, AND(AD$24-$I118 =6,NOT(_xlfn.IFNA(ISNUMBER(SEARCH("Rending",$L118)),FALSE))), (7-(AD$24-$I118))/6, AND(AD$24-$I118 &gt;=7,NOT(_xlfn.IFNA(ISNUMBER(SEARCH("Rending",$L118)),FALSE))), 0, AD$24-$I118 =7, (7-(AD$24-1-$I118))/6, AD$24-$I118 =8, (7-(AD$24-2-$I118))/6*2/3, AD$24-$I118 =9, (7-(AD$24-3-$I118))/6*1/3, TRUE, 0)) *
IF(ISNUMBER(SEARCH("Ordinance",$L118)),7/6,1) *
IF(OR(ISNUMBER(SEARCH("Melee",$L118)),ISNUMBER(SEARCH("Bypass",$L118))),1.5,1)</f>
        <v>0</v>
      </c>
      <c r="AE118" s="17" cm="1">
        <f t="array" ref="AE118">$H118 *
IF(ISNUMBER(SEARCH("Rapid",$L118)),7/6,1) *
IF(OR(ISNUMBER(SEARCH("Beam",$L118)),ISNUMBER(SEARCH("Firestorm",$L118))),1, IF(ISNUMBER(SEARCH("Blast",$L118)),(4+$F118+(2-$F118)*0.5)/6*2,(4+$F118)/6)) *
IF(ISNUMBER(SEARCH("Fusion",$L118)), _xlfn.IFS(AE$24-$I118 &lt;=1, 9/10, AE$24-$I118 &lt;=10,(11-(AE$24-$I118))/10, AE$24-$I118 &gt;=11, 0),
_xlfn.IFS(AE$24-$I118 &lt;=1, 5/6, AE$24-$I118 &lt;=5, (7-(AE$24-$I118))/6, AND(AE$24-$I118 =6,NOT(_xlfn.IFNA(ISNUMBER(SEARCH("Rending",$L118)),FALSE))), (7-(AE$24-$I118))/6, AND(AE$24-$I118 &gt;=7,NOT(_xlfn.IFNA(ISNUMBER(SEARCH("Rending",$L118)),FALSE))), 0, AE$24-$I118 =7, (7-(AE$24-1-$I118))/6, AE$24-$I118 =8, (7-(AE$24-2-$I118))/6*2/3, AE$24-$I118 =9, (7-(AE$24-3-$I118))/6*1/3, TRUE, 0)) *
IF(ISNUMBER(SEARCH("Ordinance",$L118)),7/6,1) *
IF(OR(ISNUMBER(SEARCH("Melee",$L118)),ISNUMBER(SEARCH("Bypass",$L118))),1.5,1)</f>
        <v>0</v>
      </c>
      <c r="AF118" s="17" cm="1">
        <f t="array" ref="AF118">$H118 *
IF(ISNUMBER(SEARCH("Rapid",$L118)),7/6,1) *
IF(OR(ISNUMBER(SEARCH("Beam",$L118)),ISNUMBER(SEARCH("Firestorm",$L118))),1, IF(ISNUMBER(SEARCH("Blast",$L118)),(4+$F118+(2-$F118)*0.5)/6*2,(4+$F118)/6)) *
IF(ISNUMBER(SEARCH("Fusion",$L118)), _xlfn.IFS(AF$24-$I118 &lt;=1, 9/10, AF$24-$I118 &lt;=10,(11-(AF$24-$I118))/10, AF$24-$I118 &gt;=11, 0),
_xlfn.IFS(AF$24-$I118 &lt;=1, 5/6, AF$24-$I118 &lt;=5, (7-(AF$24-$I118))/6, AND(AF$24-$I118 =6,NOT(_xlfn.IFNA(ISNUMBER(SEARCH("Rending",$L118)),FALSE))), (7-(AF$24-$I118))/6, AND(AF$24-$I118 &gt;=7,NOT(_xlfn.IFNA(ISNUMBER(SEARCH("Rending",$L118)),FALSE))), 0, AF$24-$I118 =7, (7-(AF$24-1-$I118))/6, AF$24-$I118 =8, (7-(AF$24-2-$I118))/6*2/3, AF$24-$I118 =9, (7-(AF$24-3-$I118))/6*1/3, TRUE, 0)) *
IF(ISNUMBER(SEARCH("Ordinance",$L118)),7/6,1) *
IF(OR(ISNUMBER(SEARCH("Melee",$L118)),ISNUMBER(SEARCH("Bypass",$L118))),1.5,1)</f>
        <v>0</v>
      </c>
      <c r="AG118" s="16">
        <f t="shared" si="22"/>
        <v>0</v>
      </c>
      <c r="AH118" s="16">
        <f t="shared" si="23"/>
        <v>0</v>
      </c>
      <c r="AI118" s="17" cm="1">
        <f t="array" ref="AI118">$H118 *
IF(ISNUMBER(SEARCH("Rapid",$L118)),7/6,1) *
IF(OR(ISNUMBER(SEARCH("Beam",$L118)),ISNUMBER(SEARCH("Firestorm",$L118))),1, IF(ISNUMBER(SEARCH("Blast",$L118)),(4+$G118+(2-$G118)*0.5)/6*2,(4+$G118)/6)) *
_xlfn.IFS(AI$24-$I118 &lt;=1, 5/6, AI$24-$I118 &lt;=5, (7-(AI$24-$I118))/6, AND(AI$24-$I118 =6,NOT(_xlfn.IFNA(ISNUMBER(SEARCH("Rending",$L118)),FALSE))), (7-(AI$24-$I118))/6, AND(AI$24-$I118 &gt;=7,NOT(_xlfn.IFNA(ISNUMBER(SEARCH("Rending",$L118)),FALSE))), 0, AI$24-$I118 =7, (7-(AI$24-1-$I118))/6, AI$24-$I118 =8, (7-(AI$24-2-$I118))/6*2/3, AI$24-$I118 =9, (7-(AI$24-3-$I118))/6*1/3, TRUE, 0) *
IF(ISNUMBER(SEARCH("Ordinance",$L118)),7/6,1) *
IF(OR(ISNUMBER(SEARCH("Melee",$L118)),ISNUMBER(SEARCH("Bypass",$L118))),1.5,1)</f>
        <v>0</v>
      </c>
      <c r="AJ118" s="17" cm="1">
        <f t="array" ref="AJ118">$H118 *
IF(ISNUMBER(SEARCH("Rapid",$L118)),7/6,1) *
IF(OR(ISNUMBER(SEARCH("Beam",$L118)),ISNUMBER(SEARCH("Firestorm",$L118))),1, IF(ISNUMBER(SEARCH("Blast",$L118)),(4+$G118+(2-$G118)*0.5)/6*2,(4+$G118)/6)) *
_xlfn.IFS(AJ$24-$I118 &lt;=1, 5/6, AJ$24-$I118 &lt;=5, (7-(AJ$24-$I118))/6, AND(AJ$24-$I118 =6,NOT(_xlfn.IFNA(ISNUMBER(SEARCH("Rending",$L118)),FALSE))), (7-(AJ$24-$I118))/6, AND(AJ$24-$I118 &gt;=7,NOT(_xlfn.IFNA(ISNUMBER(SEARCH("Rending",$L118)),FALSE))), 0, AJ$24-$I118 =7, (7-(AJ$24-1-$I118))/6, AJ$24-$I118 =8, (7-(AJ$24-2-$I118))/6*2/3, AJ$24-$I118 =9, (7-(AJ$24-3-$I118))/6*1/3, TRUE, 0) *
IF(ISNUMBER(SEARCH("Ordinance",$L118)),7/6,1) *
IF(OR(ISNUMBER(SEARCH("Melee",$L118)),ISNUMBER(SEARCH("Bypass",$L118))),1.5,1)</f>
        <v>0</v>
      </c>
      <c r="AK118" s="17" cm="1">
        <f t="array" ref="AK118">$H118 *
IF(ISNUMBER(SEARCH("Rapid",$L118)),7/6,1) *
IF(OR(ISNUMBER(SEARCH("Beam",$L118)),ISNUMBER(SEARCH("Firestorm",$L118))),1, IF(ISNUMBER(SEARCH("Blast",$L118)),(4+$G118+(2-$G118)*0.5)/6*2,(4+$G118)/6)) *
_xlfn.IFS(AK$24-$I118 &lt;=1, 5/6, AK$24-$I118 &lt;=5, (7-(AK$24-$I118))/6, AND(AK$24-$I118 =6,NOT(_xlfn.IFNA(ISNUMBER(SEARCH("Rending",$L118)),FALSE))), (7-(AK$24-$I118))/6, AND(AK$24-$I118 &gt;=7,NOT(_xlfn.IFNA(ISNUMBER(SEARCH("Rending",$L118)),FALSE))), 0, AK$24-$I118 =7, (7-(AK$24-1-$I118))/6, AK$24-$I118 =8, (7-(AK$24-2-$I118))/6*2/3, AK$24-$I118 =9, (7-(AK$24-3-$I118))/6*1/3, TRUE, 0) *
IF(ISNUMBER(SEARCH("Ordinance",$L118)),7/6,1) *
IF(OR(ISNUMBER(SEARCH("Melee",$L118)),ISNUMBER(SEARCH("Bypass",$L118))),1.5,1)</f>
        <v>0</v>
      </c>
      <c r="AL118" s="17" cm="1">
        <f t="array" ref="AL118">$H118 *
IF(ISNUMBER(SEARCH("Rapid",$L118)),7/6,1) *
IF(OR(ISNUMBER(SEARCH("Beam",$L118)),ISNUMBER(SEARCH("Firestorm",$L118))),1, IF(ISNUMBER(SEARCH("Blast",$L118)),(4+$G118+(2-$G118)*0.5)/6*2,(4+$G118)/6)) *
_xlfn.IFS(AL$24-$I118 &lt;=1, 5/6, AL$24-$I118 &lt;=5, (7-(AL$24-$I118))/6, AND(AL$24-$I118 =6,NOT(_xlfn.IFNA(ISNUMBER(SEARCH("Rending",$L118)),FALSE))), (7-(AL$24-$I118))/6, AND(AL$24-$I118 &gt;=7,NOT(_xlfn.IFNA(ISNUMBER(SEARCH("Rending",$L118)),FALSE))), 0, AL$24-$I118 =7, (7-(AL$24-1-$I118))/6, AL$24-$I118 =8, (7-(AL$24-2-$I118))/6*2/3, AL$24-$I118 =9, (7-(AL$24-3-$I118))/6*1/3, TRUE, 0) *
IF(ISNUMBER(SEARCH("Ordinance",$L118)),7/6,1) *
IF(OR(ISNUMBER(SEARCH("Melee",$L118)),ISNUMBER(SEARCH("Bypass",$L118))),1.5,1)</f>
        <v>0</v>
      </c>
      <c r="AM118" s="17" cm="1">
        <f t="array" ref="AM118">$H118 *
IF(ISNUMBER(SEARCH("Rapid",$L118)),7/6,1) *
IF(OR(ISNUMBER(SEARCH("Beam",$L118)),ISNUMBER(SEARCH("Firestorm",$L118))),1, IF(ISNUMBER(SEARCH("Blast",$L118)),(4+$G118+(2-$G118)*0.5)/6*2,(4+$G118)/6)) *
_xlfn.IFS(AM$24-$I118 &lt;=1, 5/6, AM$24-$I118 &lt;=5, (7-(AM$24-$I118))/6, AND(AM$24-$I118 =6,NOT(_xlfn.IFNA(ISNUMBER(SEARCH("Rending",$L118)),FALSE))), (7-(AM$24-$I118))/6, AND(AM$24-$I118 &gt;=7,NOT(_xlfn.IFNA(ISNUMBER(SEARCH("Rending",$L118)),FALSE))), 0, AM$24-$I118 =7, (7-(AM$24-1-$I118))/6, AM$24-$I118 =8, (7-(AM$24-2-$I118))/6*2/3, AM$24-$I118 =9, (7-(AM$24-3-$I118))/6*1/3, TRUE, 0) *
IF(ISNUMBER(SEARCH("Ordinance",$L118)),7/6,1) *
IF(OR(ISNUMBER(SEARCH("Melee",$L118)),ISNUMBER(SEARCH("Bypass",$L118))),1.5,1)</f>
        <v>0</v>
      </c>
      <c r="AN118" s="17" cm="1">
        <f t="array" ref="AN118">$H118 *
IF(ISNUMBER(SEARCH("Rapid",$L118)),7/6,1) *
IF(OR(ISNUMBER(SEARCH("Beam",$L118)),ISNUMBER(SEARCH("Firestorm",$L118))),1, IF(ISNUMBER(SEARCH("Blast",$L118)),(4+$G118+(2-$G118)*0.5)/6*2,(4+$G118)/6)) *
_xlfn.IFS(AN$24-$I118 &lt;=1, 5/6, AN$24-$I118 &lt;=5, (7-(AN$24-$I118))/6, AND(AN$24-$I118 =6,NOT(_xlfn.IFNA(ISNUMBER(SEARCH("Rending",$L118)),FALSE))), (7-(AN$24-$I118))/6, AND(AN$24-$I118 &gt;=7,NOT(_xlfn.IFNA(ISNUMBER(SEARCH("Rending",$L118)),FALSE))), 0, AN$24-$I118 =7, (7-(AN$24-1-$I118))/6, AN$24-$I118 =8, (7-(AN$24-2-$I118))/6*2/3, AN$24-$I118 =9, (7-(AN$24-3-$I118))/6*1/3, TRUE, 0) *
IF(ISNUMBER(SEARCH("Ordinance",$L118)),7/6,1) *
IF(OR(ISNUMBER(SEARCH("Melee",$L118)),ISNUMBER(SEARCH("Bypass",$L118))),1.5,1)</f>
        <v>0</v>
      </c>
      <c r="AO118" s="17" cm="1">
        <f t="array" ref="AO118">$H118 *
IF(ISNUMBER(SEARCH("Rapid",$L118)),7/6,1) *
IF(OR(ISNUMBER(SEARCH("Beam",$L118)),ISNUMBER(SEARCH("Firestorm",$L118))),1, IF(ISNUMBER(SEARCH("Blast",$L118)),(4+$G118+(2-$G118)*0.5)/6*2,(4+$G118)/6)) *
_xlfn.IFS(AO$24-$I118 &lt;=1, 5/6, AO$24-$I118 &lt;=5, (7-(AO$24-$I118))/6, AND(AO$24-$I118 =6,NOT(_xlfn.IFNA(ISNUMBER(SEARCH("Rending",$L118)),FALSE))), (7-(AO$24-$I118))/6, AND(AO$24-$I118 &gt;=7,NOT(_xlfn.IFNA(ISNUMBER(SEARCH("Rending",$L118)),FALSE))), 0, AO$24-$I118 =7, (7-(AO$24-1-$I118))/6, AO$24-$I118 =8, (7-(AO$24-2-$I118))/6*2/3, AO$24-$I118 =9, (7-(AO$24-3-$I118))/6*1/3, TRUE, 0) *
IF(ISNUMBER(SEARCH("Ordinance",$L118)),7/6,1) *
IF(OR(ISNUMBER(SEARCH("Melee",$L118)),ISNUMBER(SEARCH("Bypass",$L118))),1.5,1)</f>
        <v>0</v>
      </c>
      <c r="AP118" s="17" cm="1">
        <f t="array" ref="AP118">$H118 *
IF(ISNUMBER(SEARCH("Rapid",$L118)),7/6,1) *
IF(OR(ISNUMBER(SEARCH("Beam",$L118)),ISNUMBER(SEARCH("Firestorm",$L118))),1, IF(ISNUMBER(SEARCH("Blast",$L118)),(4+$G118+(2-$G118)*0.5)/6*2,(4+$G118)/6)) *
_xlfn.IFS(AP$24-$I118 &lt;=1, 5/6, AP$24-$I118 &lt;=5, (7-(AP$24-$I118))/6, AND(AP$24-$I118 =6,NOT(_xlfn.IFNA(ISNUMBER(SEARCH("Rending",$L118)),FALSE))), (7-(AP$24-$I118))/6, AND(AP$24-$I118 &gt;=7,NOT(_xlfn.IFNA(ISNUMBER(SEARCH("Rending",$L118)),FALSE))), 0, AP$24-$I118 =7, (7-(AP$24-1-$I118))/6, AP$24-$I118 =8, (7-(AP$24-2-$I118))/6*2/3, AP$24-$I118 =9, (7-(AP$24-3-$I118))/6*1/3, TRUE, 0) *
IF(ISNUMBER(SEARCH("Ordinance",$L118)),7/6,1) *
IF(OR(ISNUMBER(SEARCH("Melee",$L118)),ISNUMBER(SEARCH("Bypass",$L118))),1.5,1)</f>
        <v>0</v>
      </c>
      <c r="AQ118" s="17" cm="1">
        <f t="array" ref="AQ118">$H118 *
IF(ISNUMBER(SEARCH("Rapid",$L118)),7/6,1) *
IF(OR(ISNUMBER(SEARCH("Beam",$L118)),ISNUMBER(SEARCH("Firestorm",$L118))),1, IF(ISNUMBER(SEARCH("Blast",$L118)),(4+$G118+(2-$G118)*0.5)/6*2,(4+$G118)/6)) *
_xlfn.IFS(AQ$24-$I118 &lt;=1, 5/6, AQ$24-$I118 &lt;=5, (7-(AQ$24-$I118))/6, AND(AQ$24-$I118 =6,NOT(_xlfn.IFNA(ISNUMBER(SEARCH("Rending",$L118)),FALSE))), (7-(AQ$24-$I118))/6, AND(AQ$24-$I118 &gt;=7,NOT(_xlfn.IFNA(ISNUMBER(SEARCH("Rending",$L118)),FALSE))), 0, AQ$24-$I118 =7, (7-(AQ$24-1-$I118))/6, AQ$24-$I118 =8, (7-(AQ$24-2-$I118))/6*2/3, AQ$24-$I118 =9, (7-(AQ$24-3-$I118))/6*1/3, TRUE, 0) *
IF(ISNUMBER(SEARCH("Ordinance",$L118)),7/6,1) *
IF(OR(ISNUMBER(SEARCH("Melee",$L118)),ISNUMBER(SEARCH("Bypass",$L118))),1.5,1)</f>
        <v>0</v>
      </c>
    </row>
    <row r="119" spans="1:48" x14ac:dyDescent="0.3">
      <c r="V119" s="16">
        <f t="shared" si="20"/>
        <v>0</v>
      </c>
      <c r="W119" s="16">
        <f t="shared" si="21"/>
        <v>0</v>
      </c>
      <c r="X119" s="17" cm="1">
        <f t="array" ref="X119">$H119 *
IF(ISNUMBER(SEARCH("Rapid",$L119)),7/6,1) *
IF(OR(ISNUMBER(SEARCH("Beam",$L119)),ISNUMBER(SEARCH("Firestorm",$L119))),1, IF(ISNUMBER(SEARCH("Blast",$L119)),(4+$F119+(2-$F119)*0.5)/6*2,(4+$F119)/6)) *
IF(ISNUMBER(SEARCH("Fusion",$L119)), _xlfn.IFS(X$24-$I119 &lt;=1, 9/10, X$24-$I119 &lt;=10,(11-(X$24-$I119))/10, X$24-$I119 &gt;=11, 0),
_xlfn.IFS(X$24-$I119 &lt;=1, 5/6, X$24-$I119 &lt;=5, (7-(X$24-$I119))/6, AND(X$24-$I119 =6,NOT(_xlfn.IFNA(ISNUMBER(SEARCH("Rending",$L119)),FALSE))), (7-(X$24-$I119))/6, AND(X$24-$I119 &gt;=7,NOT(_xlfn.IFNA(ISNUMBER(SEARCH("Rending",$L119)),FALSE))), 0, X$24-$I119 =7, (7-(X$24-1-$I119))/6, X$24-$I119 =8, (7-(X$24-2-$I119))/6*2/3, X$24-$I119 =9, (7-(X$24-3-$I119))/6*1/3, TRUE, 0)) *
IF(ISNUMBER(SEARCH("Ordinance",$L119)),7/6,1) *
IF(OR(ISNUMBER(SEARCH("Melee",$L119)),ISNUMBER(SEARCH("Bypass",$L119))),1.5,1)</f>
        <v>0</v>
      </c>
      <c r="Y119" s="17" cm="1">
        <f t="array" ref="Y119">$H119 *
IF(ISNUMBER(SEARCH("Rapid",$L119)),7/6,1) *
IF(OR(ISNUMBER(SEARCH("Beam",$L119)),ISNUMBER(SEARCH("Firestorm",$L119))),1, IF(ISNUMBER(SEARCH("Blast",$L119)),(4+$F119+(2-$F119)*0.5)/6*2,(4+$F119)/6)) *
IF(ISNUMBER(SEARCH("Fusion",$L119)), _xlfn.IFS(Y$24-$I119 &lt;=1, 9/10, Y$24-$I119 &lt;=10,(11-(Y$24-$I119))/10, Y$24-$I119 &gt;=11, 0),
_xlfn.IFS(Y$24-$I119 &lt;=1, 5/6, Y$24-$I119 &lt;=5, (7-(Y$24-$I119))/6, AND(Y$24-$I119 =6,NOT(_xlfn.IFNA(ISNUMBER(SEARCH("Rending",$L119)),FALSE))), (7-(Y$24-$I119))/6, AND(Y$24-$I119 &gt;=7,NOT(_xlfn.IFNA(ISNUMBER(SEARCH("Rending",$L119)),FALSE))), 0, Y$24-$I119 =7, (7-(Y$24-1-$I119))/6, Y$24-$I119 =8, (7-(Y$24-2-$I119))/6*2/3, Y$24-$I119 =9, (7-(Y$24-3-$I119))/6*1/3, TRUE, 0)) *
IF(ISNUMBER(SEARCH("Ordinance",$L119)),7/6,1) *
IF(OR(ISNUMBER(SEARCH("Melee",$L119)),ISNUMBER(SEARCH("Bypass",$L119))),1.5,1)</f>
        <v>0</v>
      </c>
      <c r="Z119" s="17" cm="1">
        <f t="array" ref="Z119">$H119 *
IF(ISNUMBER(SEARCH("Rapid",$L119)),7/6,1) *
IF(OR(ISNUMBER(SEARCH("Beam",$L119)),ISNUMBER(SEARCH("Firestorm",$L119))),1, IF(ISNUMBER(SEARCH("Blast",$L119)),(4+$F119+(2-$F119)*0.5)/6*2,(4+$F119)/6)) *
IF(ISNUMBER(SEARCH("Fusion",$L119)), _xlfn.IFS(Z$24-$I119 &lt;=1, 9/10, Z$24-$I119 &lt;=10,(11-(Z$24-$I119))/10, Z$24-$I119 &gt;=11, 0),
_xlfn.IFS(Z$24-$I119 &lt;=1, 5/6, Z$24-$I119 &lt;=5, (7-(Z$24-$I119))/6, AND(Z$24-$I119 =6,NOT(_xlfn.IFNA(ISNUMBER(SEARCH("Rending",$L119)),FALSE))), (7-(Z$24-$I119))/6, AND(Z$24-$I119 &gt;=7,NOT(_xlfn.IFNA(ISNUMBER(SEARCH("Rending",$L119)),FALSE))), 0, Z$24-$I119 =7, (7-(Z$24-1-$I119))/6, Z$24-$I119 =8, (7-(Z$24-2-$I119))/6*2/3, Z$24-$I119 =9, (7-(Z$24-3-$I119))/6*1/3, TRUE, 0)) *
IF(ISNUMBER(SEARCH("Ordinance",$L119)),7/6,1) *
IF(OR(ISNUMBER(SEARCH("Melee",$L119)),ISNUMBER(SEARCH("Bypass",$L119))),1.5,1)</f>
        <v>0</v>
      </c>
      <c r="AA119" s="17" cm="1">
        <f t="array" ref="AA119">$H119 *
IF(ISNUMBER(SEARCH("Rapid",$L119)),7/6,1) *
IF(OR(ISNUMBER(SEARCH("Beam",$L119)),ISNUMBER(SEARCH("Firestorm",$L119))),1, IF(ISNUMBER(SEARCH("Blast",$L119)),(4+$F119+(2-$F119)*0.5)/6*2,(4+$F119)/6)) *
IF(ISNUMBER(SEARCH("Fusion",$L119)), _xlfn.IFS(AA$24-$I119 &lt;=1, 9/10, AA$24-$I119 &lt;=10,(11-(AA$24-$I119))/10, AA$24-$I119 &gt;=11, 0),
_xlfn.IFS(AA$24-$I119 &lt;=1, 5/6, AA$24-$I119 &lt;=5, (7-(AA$24-$I119))/6, AND(AA$24-$I119 =6,NOT(_xlfn.IFNA(ISNUMBER(SEARCH("Rending",$L119)),FALSE))), (7-(AA$24-$I119))/6, AND(AA$24-$I119 &gt;=7,NOT(_xlfn.IFNA(ISNUMBER(SEARCH("Rending",$L119)),FALSE))), 0, AA$24-$I119 =7, (7-(AA$24-1-$I119))/6, AA$24-$I119 =8, (7-(AA$24-2-$I119))/6*2/3, AA$24-$I119 =9, (7-(AA$24-3-$I119))/6*1/3, TRUE, 0)) *
IF(ISNUMBER(SEARCH("Ordinance",$L119)),7/6,1) *
IF(OR(ISNUMBER(SEARCH("Melee",$L119)),ISNUMBER(SEARCH("Bypass",$L119))),1.5,1)</f>
        <v>0</v>
      </c>
      <c r="AB119" s="17" cm="1">
        <f t="array" ref="AB119">$H119 *
IF(ISNUMBER(SEARCH("Rapid",$L119)),7/6,1) *
IF(OR(ISNUMBER(SEARCH("Beam",$L119)),ISNUMBER(SEARCH("Firestorm",$L119))),1, IF(ISNUMBER(SEARCH("Blast",$L119)),(4+$F119+(2-$F119)*0.5)/6*2,(4+$F119)/6)) *
IF(ISNUMBER(SEARCH("Fusion",$L119)), _xlfn.IFS(AB$24-$I119 &lt;=1, 9/10, AB$24-$I119 &lt;=10,(11-(AB$24-$I119))/10, AB$24-$I119 &gt;=11, 0),
_xlfn.IFS(AB$24-$I119 &lt;=1, 5/6, AB$24-$I119 &lt;=5, (7-(AB$24-$I119))/6, AND(AB$24-$I119 =6,NOT(_xlfn.IFNA(ISNUMBER(SEARCH("Rending",$L119)),FALSE))), (7-(AB$24-$I119))/6, AND(AB$24-$I119 &gt;=7,NOT(_xlfn.IFNA(ISNUMBER(SEARCH("Rending",$L119)),FALSE))), 0, AB$24-$I119 =7, (7-(AB$24-1-$I119))/6, AB$24-$I119 =8, (7-(AB$24-2-$I119))/6*2/3, AB$24-$I119 =9, (7-(AB$24-3-$I119))/6*1/3, TRUE, 0)) *
IF(ISNUMBER(SEARCH("Ordinance",$L119)),7/6,1) *
IF(OR(ISNUMBER(SEARCH("Melee",$L119)),ISNUMBER(SEARCH("Bypass",$L119))),1.5,1)</f>
        <v>0</v>
      </c>
      <c r="AC119" s="17" cm="1">
        <f t="array" ref="AC119">$H119 *
IF(ISNUMBER(SEARCH("Rapid",$L119)),7/6,1) *
IF(OR(ISNUMBER(SEARCH("Beam",$L119)),ISNUMBER(SEARCH("Firestorm",$L119))),1, IF(ISNUMBER(SEARCH("Blast",$L119)),(4+$F119+(2-$F119)*0.5)/6*2,(4+$F119)/6)) *
IF(ISNUMBER(SEARCH("Fusion",$L119)), _xlfn.IFS(AC$24-$I119 &lt;=1, 9/10, AC$24-$I119 &lt;=10,(11-(AC$24-$I119))/10, AC$24-$I119 &gt;=11, 0),
_xlfn.IFS(AC$24-$I119 &lt;=1, 5/6, AC$24-$I119 &lt;=5, (7-(AC$24-$I119))/6, AND(AC$24-$I119 =6,NOT(_xlfn.IFNA(ISNUMBER(SEARCH("Rending",$L119)),FALSE))), (7-(AC$24-$I119))/6, AND(AC$24-$I119 &gt;=7,NOT(_xlfn.IFNA(ISNUMBER(SEARCH("Rending",$L119)),FALSE))), 0, AC$24-$I119 =7, (7-(AC$24-1-$I119))/6, AC$24-$I119 =8, (7-(AC$24-2-$I119))/6*2/3, AC$24-$I119 =9, (7-(AC$24-3-$I119))/6*1/3, TRUE, 0)) *
IF(ISNUMBER(SEARCH("Ordinance",$L119)),7/6,1) *
IF(OR(ISNUMBER(SEARCH("Melee",$L119)),ISNUMBER(SEARCH("Bypass",$L119))),1.5,1)</f>
        <v>0</v>
      </c>
      <c r="AD119" s="17" cm="1">
        <f t="array" ref="AD119">$H119 *
IF(ISNUMBER(SEARCH("Rapid",$L119)),7/6,1) *
IF(OR(ISNUMBER(SEARCH("Beam",$L119)),ISNUMBER(SEARCH("Firestorm",$L119))),1, IF(ISNUMBER(SEARCH("Blast",$L119)),(4+$F119+(2-$F119)*0.5)/6*2,(4+$F119)/6)) *
IF(ISNUMBER(SEARCH("Fusion",$L119)), _xlfn.IFS(AD$24-$I119 &lt;=1, 9/10, AD$24-$I119 &lt;=10,(11-(AD$24-$I119))/10, AD$24-$I119 &gt;=11, 0),
_xlfn.IFS(AD$24-$I119 &lt;=1, 5/6, AD$24-$I119 &lt;=5, (7-(AD$24-$I119))/6, AND(AD$24-$I119 =6,NOT(_xlfn.IFNA(ISNUMBER(SEARCH("Rending",$L119)),FALSE))), (7-(AD$24-$I119))/6, AND(AD$24-$I119 &gt;=7,NOT(_xlfn.IFNA(ISNUMBER(SEARCH("Rending",$L119)),FALSE))), 0, AD$24-$I119 =7, (7-(AD$24-1-$I119))/6, AD$24-$I119 =8, (7-(AD$24-2-$I119))/6*2/3, AD$24-$I119 =9, (7-(AD$24-3-$I119))/6*1/3, TRUE, 0)) *
IF(ISNUMBER(SEARCH("Ordinance",$L119)),7/6,1) *
IF(OR(ISNUMBER(SEARCH("Melee",$L119)),ISNUMBER(SEARCH("Bypass",$L119))),1.5,1)</f>
        <v>0</v>
      </c>
      <c r="AE119" s="17" cm="1">
        <f t="array" ref="AE119">$H119 *
IF(ISNUMBER(SEARCH("Rapid",$L119)),7/6,1) *
IF(OR(ISNUMBER(SEARCH("Beam",$L119)),ISNUMBER(SEARCH("Firestorm",$L119))),1, IF(ISNUMBER(SEARCH("Blast",$L119)),(4+$F119+(2-$F119)*0.5)/6*2,(4+$F119)/6)) *
IF(ISNUMBER(SEARCH("Fusion",$L119)), _xlfn.IFS(AE$24-$I119 &lt;=1, 9/10, AE$24-$I119 &lt;=10,(11-(AE$24-$I119))/10, AE$24-$I119 &gt;=11, 0),
_xlfn.IFS(AE$24-$I119 &lt;=1, 5/6, AE$24-$I119 &lt;=5, (7-(AE$24-$I119))/6, AND(AE$24-$I119 =6,NOT(_xlfn.IFNA(ISNUMBER(SEARCH("Rending",$L119)),FALSE))), (7-(AE$24-$I119))/6, AND(AE$24-$I119 &gt;=7,NOT(_xlfn.IFNA(ISNUMBER(SEARCH("Rending",$L119)),FALSE))), 0, AE$24-$I119 =7, (7-(AE$24-1-$I119))/6, AE$24-$I119 =8, (7-(AE$24-2-$I119))/6*2/3, AE$24-$I119 =9, (7-(AE$24-3-$I119))/6*1/3, TRUE, 0)) *
IF(ISNUMBER(SEARCH("Ordinance",$L119)),7/6,1) *
IF(OR(ISNUMBER(SEARCH("Melee",$L119)),ISNUMBER(SEARCH("Bypass",$L119))),1.5,1)</f>
        <v>0</v>
      </c>
      <c r="AF119" s="17" cm="1">
        <f t="array" ref="AF119">$H119 *
IF(ISNUMBER(SEARCH("Rapid",$L119)),7/6,1) *
IF(OR(ISNUMBER(SEARCH("Beam",$L119)),ISNUMBER(SEARCH("Firestorm",$L119))),1, IF(ISNUMBER(SEARCH("Blast",$L119)),(4+$F119+(2-$F119)*0.5)/6*2,(4+$F119)/6)) *
IF(ISNUMBER(SEARCH("Fusion",$L119)), _xlfn.IFS(AF$24-$I119 &lt;=1, 9/10, AF$24-$I119 &lt;=10,(11-(AF$24-$I119))/10, AF$24-$I119 &gt;=11, 0),
_xlfn.IFS(AF$24-$I119 &lt;=1, 5/6, AF$24-$I119 &lt;=5, (7-(AF$24-$I119))/6, AND(AF$24-$I119 =6,NOT(_xlfn.IFNA(ISNUMBER(SEARCH("Rending",$L119)),FALSE))), (7-(AF$24-$I119))/6, AND(AF$24-$I119 &gt;=7,NOT(_xlfn.IFNA(ISNUMBER(SEARCH("Rending",$L119)),FALSE))), 0, AF$24-$I119 =7, (7-(AF$24-1-$I119))/6, AF$24-$I119 =8, (7-(AF$24-2-$I119))/6*2/3, AF$24-$I119 =9, (7-(AF$24-3-$I119))/6*1/3, TRUE, 0)) *
IF(ISNUMBER(SEARCH("Ordinance",$L119)),7/6,1) *
IF(OR(ISNUMBER(SEARCH("Melee",$L119)),ISNUMBER(SEARCH("Bypass",$L119))),1.5,1)</f>
        <v>0</v>
      </c>
      <c r="AG119" s="16">
        <f t="shared" si="22"/>
        <v>0</v>
      </c>
      <c r="AH119" s="16">
        <f t="shared" si="23"/>
        <v>0</v>
      </c>
      <c r="AI119" s="17" cm="1">
        <f t="array" ref="AI119">$H119 *
IF(ISNUMBER(SEARCH("Rapid",$L119)),7/6,1) *
IF(OR(ISNUMBER(SEARCH("Beam",$L119)),ISNUMBER(SEARCH("Firestorm",$L119))),1, IF(ISNUMBER(SEARCH("Blast",$L119)),(4+$G119+(2-$G119)*0.5)/6*2,(4+$G119)/6)) *
_xlfn.IFS(AI$24-$I119 &lt;=1, 5/6, AI$24-$I119 &lt;=5, (7-(AI$24-$I119))/6, AND(AI$24-$I119 =6,NOT(_xlfn.IFNA(ISNUMBER(SEARCH("Rending",$L119)),FALSE))), (7-(AI$24-$I119))/6, AND(AI$24-$I119 &gt;=7,NOT(_xlfn.IFNA(ISNUMBER(SEARCH("Rending",$L119)),FALSE))), 0, AI$24-$I119 =7, (7-(AI$24-1-$I119))/6, AI$24-$I119 =8, (7-(AI$24-2-$I119))/6*2/3, AI$24-$I119 =9, (7-(AI$24-3-$I119))/6*1/3, TRUE, 0) *
IF(ISNUMBER(SEARCH("Ordinance",$L119)),7/6,1) *
IF(OR(ISNUMBER(SEARCH("Melee",$L119)),ISNUMBER(SEARCH("Bypass",$L119))),1.5,1)</f>
        <v>0</v>
      </c>
      <c r="AJ119" s="17" cm="1">
        <f t="array" ref="AJ119">$H119 *
IF(ISNUMBER(SEARCH("Rapid",$L119)),7/6,1) *
IF(OR(ISNUMBER(SEARCH("Beam",$L119)),ISNUMBER(SEARCH("Firestorm",$L119))),1, IF(ISNUMBER(SEARCH("Blast",$L119)),(4+$G119+(2-$G119)*0.5)/6*2,(4+$G119)/6)) *
_xlfn.IFS(AJ$24-$I119 &lt;=1, 5/6, AJ$24-$I119 &lt;=5, (7-(AJ$24-$I119))/6, AND(AJ$24-$I119 =6,NOT(_xlfn.IFNA(ISNUMBER(SEARCH("Rending",$L119)),FALSE))), (7-(AJ$24-$I119))/6, AND(AJ$24-$I119 &gt;=7,NOT(_xlfn.IFNA(ISNUMBER(SEARCH("Rending",$L119)),FALSE))), 0, AJ$24-$I119 =7, (7-(AJ$24-1-$I119))/6, AJ$24-$I119 =8, (7-(AJ$24-2-$I119))/6*2/3, AJ$24-$I119 =9, (7-(AJ$24-3-$I119))/6*1/3, TRUE, 0) *
IF(ISNUMBER(SEARCH("Ordinance",$L119)),7/6,1) *
IF(OR(ISNUMBER(SEARCH("Melee",$L119)),ISNUMBER(SEARCH("Bypass",$L119))),1.5,1)</f>
        <v>0</v>
      </c>
      <c r="AK119" s="17" cm="1">
        <f t="array" ref="AK119">$H119 *
IF(ISNUMBER(SEARCH("Rapid",$L119)),7/6,1) *
IF(OR(ISNUMBER(SEARCH("Beam",$L119)),ISNUMBER(SEARCH("Firestorm",$L119))),1, IF(ISNUMBER(SEARCH("Blast",$L119)),(4+$G119+(2-$G119)*0.5)/6*2,(4+$G119)/6)) *
_xlfn.IFS(AK$24-$I119 &lt;=1, 5/6, AK$24-$I119 &lt;=5, (7-(AK$24-$I119))/6, AND(AK$24-$I119 =6,NOT(_xlfn.IFNA(ISNUMBER(SEARCH("Rending",$L119)),FALSE))), (7-(AK$24-$I119))/6, AND(AK$24-$I119 &gt;=7,NOT(_xlfn.IFNA(ISNUMBER(SEARCH("Rending",$L119)),FALSE))), 0, AK$24-$I119 =7, (7-(AK$24-1-$I119))/6, AK$24-$I119 =8, (7-(AK$24-2-$I119))/6*2/3, AK$24-$I119 =9, (7-(AK$24-3-$I119))/6*1/3, TRUE, 0) *
IF(ISNUMBER(SEARCH("Ordinance",$L119)),7/6,1) *
IF(OR(ISNUMBER(SEARCH("Melee",$L119)),ISNUMBER(SEARCH("Bypass",$L119))),1.5,1)</f>
        <v>0</v>
      </c>
      <c r="AL119" s="17" cm="1">
        <f t="array" ref="AL119">$H119 *
IF(ISNUMBER(SEARCH("Rapid",$L119)),7/6,1) *
IF(OR(ISNUMBER(SEARCH("Beam",$L119)),ISNUMBER(SEARCH("Firestorm",$L119))),1, IF(ISNUMBER(SEARCH("Blast",$L119)),(4+$G119+(2-$G119)*0.5)/6*2,(4+$G119)/6)) *
_xlfn.IFS(AL$24-$I119 &lt;=1, 5/6, AL$24-$I119 &lt;=5, (7-(AL$24-$I119))/6, AND(AL$24-$I119 =6,NOT(_xlfn.IFNA(ISNUMBER(SEARCH("Rending",$L119)),FALSE))), (7-(AL$24-$I119))/6, AND(AL$24-$I119 &gt;=7,NOT(_xlfn.IFNA(ISNUMBER(SEARCH("Rending",$L119)),FALSE))), 0, AL$24-$I119 =7, (7-(AL$24-1-$I119))/6, AL$24-$I119 =8, (7-(AL$24-2-$I119))/6*2/3, AL$24-$I119 =9, (7-(AL$24-3-$I119))/6*1/3, TRUE, 0) *
IF(ISNUMBER(SEARCH("Ordinance",$L119)),7/6,1) *
IF(OR(ISNUMBER(SEARCH("Melee",$L119)),ISNUMBER(SEARCH("Bypass",$L119))),1.5,1)</f>
        <v>0</v>
      </c>
      <c r="AM119" s="17" cm="1">
        <f t="array" ref="AM119">$H119 *
IF(ISNUMBER(SEARCH("Rapid",$L119)),7/6,1) *
IF(OR(ISNUMBER(SEARCH("Beam",$L119)),ISNUMBER(SEARCH("Firestorm",$L119))),1, IF(ISNUMBER(SEARCH("Blast",$L119)),(4+$G119+(2-$G119)*0.5)/6*2,(4+$G119)/6)) *
_xlfn.IFS(AM$24-$I119 &lt;=1, 5/6, AM$24-$I119 &lt;=5, (7-(AM$24-$I119))/6, AND(AM$24-$I119 =6,NOT(_xlfn.IFNA(ISNUMBER(SEARCH("Rending",$L119)),FALSE))), (7-(AM$24-$I119))/6, AND(AM$24-$I119 &gt;=7,NOT(_xlfn.IFNA(ISNUMBER(SEARCH("Rending",$L119)),FALSE))), 0, AM$24-$I119 =7, (7-(AM$24-1-$I119))/6, AM$24-$I119 =8, (7-(AM$24-2-$I119))/6*2/3, AM$24-$I119 =9, (7-(AM$24-3-$I119))/6*1/3, TRUE, 0) *
IF(ISNUMBER(SEARCH("Ordinance",$L119)),7/6,1) *
IF(OR(ISNUMBER(SEARCH("Melee",$L119)),ISNUMBER(SEARCH("Bypass",$L119))),1.5,1)</f>
        <v>0</v>
      </c>
      <c r="AN119" s="17" cm="1">
        <f t="array" ref="AN119">$H119 *
IF(ISNUMBER(SEARCH("Rapid",$L119)),7/6,1) *
IF(OR(ISNUMBER(SEARCH("Beam",$L119)),ISNUMBER(SEARCH("Firestorm",$L119))),1, IF(ISNUMBER(SEARCH("Blast",$L119)),(4+$G119+(2-$G119)*0.5)/6*2,(4+$G119)/6)) *
_xlfn.IFS(AN$24-$I119 &lt;=1, 5/6, AN$24-$I119 &lt;=5, (7-(AN$24-$I119))/6, AND(AN$24-$I119 =6,NOT(_xlfn.IFNA(ISNUMBER(SEARCH("Rending",$L119)),FALSE))), (7-(AN$24-$I119))/6, AND(AN$24-$I119 &gt;=7,NOT(_xlfn.IFNA(ISNUMBER(SEARCH("Rending",$L119)),FALSE))), 0, AN$24-$I119 =7, (7-(AN$24-1-$I119))/6, AN$24-$I119 =8, (7-(AN$24-2-$I119))/6*2/3, AN$24-$I119 =9, (7-(AN$24-3-$I119))/6*1/3, TRUE, 0) *
IF(ISNUMBER(SEARCH("Ordinance",$L119)),7/6,1) *
IF(OR(ISNUMBER(SEARCH("Melee",$L119)),ISNUMBER(SEARCH("Bypass",$L119))),1.5,1)</f>
        <v>0</v>
      </c>
      <c r="AO119" s="17" cm="1">
        <f t="array" ref="AO119">$H119 *
IF(ISNUMBER(SEARCH("Rapid",$L119)),7/6,1) *
IF(OR(ISNUMBER(SEARCH("Beam",$L119)),ISNUMBER(SEARCH("Firestorm",$L119))),1, IF(ISNUMBER(SEARCH("Blast",$L119)),(4+$G119+(2-$G119)*0.5)/6*2,(4+$G119)/6)) *
_xlfn.IFS(AO$24-$I119 &lt;=1, 5/6, AO$24-$I119 &lt;=5, (7-(AO$24-$I119))/6, AND(AO$24-$I119 =6,NOT(_xlfn.IFNA(ISNUMBER(SEARCH("Rending",$L119)),FALSE))), (7-(AO$24-$I119))/6, AND(AO$24-$I119 &gt;=7,NOT(_xlfn.IFNA(ISNUMBER(SEARCH("Rending",$L119)),FALSE))), 0, AO$24-$I119 =7, (7-(AO$24-1-$I119))/6, AO$24-$I119 =8, (7-(AO$24-2-$I119))/6*2/3, AO$24-$I119 =9, (7-(AO$24-3-$I119))/6*1/3, TRUE, 0) *
IF(ISNUMBER(SEARCH("Ordinance",$L119)),7/6,1) *
IF(OR(ISNUMBER(SEARCH("Melee",$L119)),ISNUMBER(SEARCH("Bypass",$L119))),1.5,1)</f>
        <v>0</v>
      </c>
      <c r="AP119" s="17" cm="1">
        <f t="array" ref="AP119">$H119 *
IF(ISNUMBER(SEARCH("Rapid",$L119)),7/6,1) *
IF(OR(ISNUMBER(SEARCH("Beam",$L119)),ISNUMBER(SEARCH("Firestorm",$L119))),1, IF(ISNUMBER(SEARCH("Blast",$L119)),(4+$G119+(2-$G119)*0.5)/6*2,(4+$G119)/6)) *
_xlfn.IFS(AP$24-$I119 &lt;=1, 5/6, AP$24-$I119 &lt;=5, (7-(AP$24-$I119))/6, AND(AP$24-$I119 =6,NOT(_xlfn.IFNA(ISNUMBER(SEARCH("Rending",$L119)),FALSE))), (7-(AP$24-$I119))/6, AND(AP$24-$I119 &gt;=7,NOT(_xlfn.IFNA(ISNUMBER(SEARCH("Rending",$L119)),FALSE))), 0, AP$24-$I119 =7, (7-(AP$24-1-$I119))/6, AP$24-$I119 =8, (7-(AP$24-2-$I119))/6*2/3, AP$24-$I119 =9, (7-(AP$24-3-$I119))/6*1/3, TRUE, 0) *
IF(ISNUMBER(SEARCH("Ordinance",$L119)),7/6,1) *
IF(OR(ISNUMBER(SEARCH("Melee",$L119)),ISNUMBER(SEARCH("Bypass",$L119))),1.5,1)</f>
        <v>0</v>
      </c>
      <c r="AQ119" s="17" cm="1">
        <f t="array" ref="AQ119">$H119 *
IF(ISNUMBER(SEARCH("Rapid",$L119)),7/6,1) *
IF(OR(ISNUMBER(SEARCH("Beam",$L119)),ISNUMBER(SEARCH("Firestorm",$L119))),1, IF(ISNUMBER(SEARCH("Blast",$L119)),(4+$G119+(2-$G119)*0.5)/6*2,(4+$G119)/6)) *
_xlfn.IFS(AQ$24-$I119 &lt;=1, 5/6, AQ$24-$I119 &lt;=5, (7-(AQ$24-$I119))/6, AND(AQ$24-$I119 =6,NOT(_xlfn.IFNA(ISNUMBER(SEARCH("Rending",$L119)),FALSE))), (7-(AQ$24-$I119))/6, AND(AQ$24-$I119 &gt;=7,NOT(_xlfn.IFNA(ISNUMBER(SEARCH("Rending",$L119)),FALSE))), 0, AQ$24-$I119 =7, (7-(AQ$24-1-$I119))/6, AQ$24-$I119 =8, (7-(AQ$24-2-$I119))/6*2/3, AQ$24-$I119 =9, (7-(AQ$24-3-$I119))/6*1/3, TRUE, 0) *
IF(ISNUMBER(SEARCH("Ordinance",$L119)),7/6,1) *
IF(OR(ISNUMBER(SEARCH("Melee",$L119)),ISNUMBER(SEARCH("Bypass",$L119))),1.5,1)</f>
        <v>0</v>
      </c>
    </row>
    <row r="120" spans="1:48" x14ac:dyDescent="0.3">
      <c r="A120" s="6" t="s">
        <v>468</v>
      </c>
      <c r="F120" s="10"/>
      <c r="G120" s="10"/>
      <c r="V120" s="16">
        <f t="shared" si="20"/>
        <v>0</v>
      </c>
      <c r="W120" s="16">
        <f t="shared" si="21"/>
        <v>0</v>
      </c>
      <c r="X120" s="17" cm="1">
        <f t="array" ref="X120">$H120 *
IF(ISNUMBER(SEARCH("Rapid",$L120)),7/6,1) *
IF(OR(ISNUMBER(SEARCH("Beam",$L120)),ISNUMBER(SEARCH("Firestorm",$L120))),1, IF(ISNUMBER(SEARCH("Blast",$L120)),(4+$F120+(2-$F120)*0.5)/6*2,(4+$F120)/6)) *
IF(ISNUMBER(SEARCH("Fusion",$L120)), _xlfn.IFS(X$24-$I120 &lt;=1, 9/10, X$24-$I120 &lt;=10,(11-(X$24-$I120))/10, X$24-$I120 &gt;=11, 0),
_xlfn.IFS(X$24-$I120 &lt;=1, 5/6, X$24-$I120 &lt;=5, (7-(X$24-$I120))/6, AND(X$24-$I120 =6,NOT(_xlfn.IFNA(ISNUMBER(SEARCH("Rending",$L120)),FALSE))), (7-(X$24-$I120))/6, AND(X$24-$I120 &gt;=7,NOT(_xlfn.IFNA(ISNUMBER(SEARCH("Rending",$L120)),FALSE))), 0, X$24-$I120 =7, (7-(X$24-1-$I120))/6, X$24-$I120 =8, (7-(X$24-2-$I120))/6*2/3, X$24-$I120 =9, (7-(X$24-3-$I120))/6*1/3, TRUE, 0)) *
IF(ISNUMBER(SEARCH("Ordinance",$L120)),7/6,1) *
IF(OR(ISNUMBER(SEARCH("Melee",$L120)),ISNUMBER(SEARCH("Bypass",$L120))),1.5,1)</f>
        <v>0</v>
      </c>
      <c r="Y120" s="17" cm="1">
        <f t="array" ref="Y120">$H120 *
IF(ISNUMBER(SEARCH("Rapid",$L120)),7/6,1) *
IF(OR(ISNUMBER(SEARCH("Beam",$L120)),ISNUMBER(SEARCH("Firestorm",$L120))),1, IF(ISNUMBER(SEARCH("Blast",$L120)),(4+$F120+(2-$F120)*0.5)/6*2,(4+$F120)/6)) *
IF(ISNUMBER(SEARCH("Fusion",$L120)), _xlfn.IFS(Y$24-$I120 &lt;=1, 9/10, Y$24-$I120 &lt;=10,(11-(Y$24-$I120))/10, Y$24-$I120 &gt;=11, 0),
_xlfn.IFS(Y$24-$I120 &lt;=1, 5/6, Y$24-$I120 &lt;=5, (7-(Y$24-$I120))/6, AND(Y$24-$I120 =6,NOT(_xlfn.IFNA(ISNUMBER(SEARCH("Rending",$L120)),FALSE))), (7-(Y$24-$I120))/6, AND(Y$24-$I120 &gt;=7,NOT(_xlfn.IFNA(ISNUMBER(SEARCH("Rending",$L120)),FALSE))), 0, Y$24-$I120 =7, (7-(Y$24-1-$I120))/6, Y$24-$I120 =8, (7-(Y$24-2-$I120))/6*2/3, Y$24-$I120 =9, (7-(Y$24-3-$I120))/6*1/3, TRUE, 0)) *
IF(ISNUMBER(SEARCH("Ordinance",$L120)),7/6,1) *
IF(OR(ISNUMBER(SEARCH("Melee",$L120)),ISNUMBER(SEARCH("Bypass",$L120))),1.5,1)</f>
        <v>0</v>
      </c>
      <c r="Z120" s="17" cm="1">
        <f t="array" ref="Z120">$H120 *
IF(ISNUMBER(SEARCH("Rapid",$L120)),7/6,1) *
IF(OR(ISNUMBER(SEARCH("Beam",$L120)),ISNUMBER(SEARCH("Firestorm",$L120))),1, IF(ISNUMBER(SEARCH("Blast",$L120)),(4+$F120+(2-$F120)*0.5)/6*2,(4+$F120)/6)) *
IF(ISNUMBER(SEARCH("Fusion",$L120)), _xlfn.IFS(Z$24-$I120 &lt;=1, 9/10, Z$24-$I120 &lt;=10,(11-(Z$24-$I120))/10, Z$24-$I120 &gt;=11, 0),
_xlfn.IFS(Z$24-$I120 &lt;=1, 5/6, Z$24-$I120 &lt;=5, (7-(Z$24-$I120))/6, AND(Z$24-$I120 =6,NOT(_xlfn.IFNA(ISNUMBER(SEARCH("Rending",$L120)),FALSE))), (7-(Z$24-$I120))/6, AND(Z$24-$I120 &gt;=7,NOT(_xlfn.IFNA(ISNUMBER(SEARCH("Rending",$L120)),FALSE))), 0, Z$24-$I120 =7, (7-(Z$24-1-$I120))/6, Z$24-$I120 =8, (7-(Z$24-2-$I120))/6*2/3, Z$24-$I120 =9, (7-(Z$24-3-$I120))/6*1/3, TRUE, 0)) *
IF(ISNUMBER(SEARCH("Ordinance",$L120)),7/6,1) *
IF(OR(ISNUMBER(SEARCH("Melee",$L120)),ISNUMBER(SEARCH("Bypass",$L120))),1.5,1)</f>
        <v>0</v>
      </c>
      <c r="AA120" s="17" cm="1">
        <f t="array" ref="AA120">$H120 *
IF(ISNUMBER(SEARCH("Rapid",$L120)),7/6,1) *
IF(OR(ISNUMBER(SEARCH("Beam",$L120)),ISNUMBER(SEARCH("Firestorm",$L120))),1, IF(ISNUMBER(SEARCH("Blast",$L120)),(4+$F120+(2-$F120)*0.5)/6*2,(4+$F120)/6)) *
IF(ISNUMBER(SEARCH("Fusion",$L120)), _xlfn.IFS(AA$24-$I120 &lt;=1, 9/10, AA$24-$I120 &lt;=10,(11-(AA$24-$I120))/10, AA$24-$I120 &gt;=11, 0),
_xlfn.IFS(AA$24-$I120 &lt;=1, 5/6, AA$24-$I120 &lt;=5, (7-(AA$24-$I120))/6, AND(AA$24-$I120 =6,NOT(_xlfn.IFNA(ISNUMBER(SEARCH("Rending",$L120)),FALSE))), (7-(AA$24-$I120))/6, AND(AA$24-$I120 &gt;=7,NOT(_xlfn.IFNA(ISNUMBER(SEARCH("Rending",$L120)),FALSE))), 0, AA$24-$I120 =7, (7-(AA$24-1-$I120))/6, AA$24-$I120 =8, (7-(AA$24-2-$I120))/6*2/3, AA$24-$I120 =9, (7-(AA$24-3-$I120))/6*1/3, TRUE, 0)) *
IF(ISNUMBER(SEARCH("Ordinance",$L120)),7/6,1) *
IF(OR(ISNUMBER(SEARCH("Melee",$L120)),ISNUMBER(SEARCH("Bypass",$L120))),1.5,1)</f>
        <v>0</v>
      </c>
      <c r="AB120" s="17" cm="1">
        <f t="array" ref="AB120">$H120 *
IF(ISNUMBER(SEARCH("Rapid",$L120)),7/6,1) *
IF(OR(ISNUMBER(SEARCH("Beam",$L120)),ISNUMBER(SEARCH("Firestorm",$L120))),1, IF(ISNUMBER(SEARCH("Blast",$L120)),(4+$F120+(2-$F120)*0.5)/6*2,(4+$F120)/6)) *
IF(ISNUMBER(SEARCH("Fusion",$L120)), _xlfn.IFS(AB$24-$I120 &lt;=1, 9/10, AB$24-$I120 &lt;=10,(11-(AB$24-$I120))/10, AB$24-$I120 &gt;=11, 0),
_xlfn.IFS(AB$24-$I120 &lt;=1, 5/6, AB$24-$I120 &lt;=5, (7-(AB$24-$I120))/6, AND(AB$24-$I120 =6,NOT(_xlfn.IFNA(ISNUMBER(SEARCH("Rending",$L120)),FALSE))), (7-(AB$24-$I120))/6, AND(AB$24-$I120 &gt;=7,NOT(_xlfn.IFNA(ISNUMBER(SEARCH("Rending",$L120)),FALSE))), 0, AB$24-$I120 =7, (7-(AB$24-1-$I120))/6, AB$24-$I120 =8, (7-(AB$24-2-$I120))/6*2/3, AB$24-$I120 =9, (7-(AB$24-3-$I120))/6*1/3, TRUE, 0)) *
IF(ISNUMBER(SEARCH("Ordinance",$L120)),7/6,1) *
IF(OR(ISNUMBER(SEARCH("Melee",$L120)),ISNUMBER(SEARCH("Bypass",$L120))),1.5,1)</f>
        <v>0</v>
      </c>
      <c r="AC120" s="17" cm="1">
        <f t="array" ref="AC120">$H120 *
IF(ISNUMBER(SEARCH("Rapid",$L120)),7/6,1) *
IF(OR(ISNUMBER(SEARCH("Beam",$L120)),ISNUMBER(SEARCH("Firestorm",$L120))),1, IF(ISNUMBER(SEARCH("Blast",$L120)),(4+$F120+(2-$F120)*0.5)/6*2,(4+$F120)/6)) *
IF(ISNUMBER(SEARCH("Fusion",$L120)), _xlfn.IFS(AC$24-$I120 &lt;=1, 9/10, AC$24-$I120 &lt;=10,(11-(AC$24-$I120))/10, AC$24-$I120 &gt;=11, 0),
_xlfn.IFS(AC$24-$I120 &lt;=1, 5/6, AC$24-$I120 &lt;=5, (7-(AC$24-$I120))/6, AND(AC$24-$I120 =6,NOT(_xlfn.IFNA(ISNUMBER(SEARCH("Rending",$L120)),FALSE))), (7-(AC$24-$I120))/6, AND(AC$24-$I120 &gt;=7,NOT(_xlfn.IFNA(ISNUMBER(SEARCH("Rending",$L120)),FALSE))), 0, AC$24-$I120 =7, (7-(AC$24-1-$I120))/6, AC$24-$I120 =8, (7-(AC$24-2-$I120))/6*2/3, AC$24-$I120 =9, (7-(AC$24-3-$I120))/6*1/3, TRUE, 0)) *
IF(ISNUMBER(SEARCH("Ordinance",$L120)),7/6,1) *
IF(OR(ISNUMBER(SEARCH("Melee",$L120)),ISNUMBER(SEARCH("Bypass",$L120))),1.5,1)</f>
        <v>0</v>
      </c>
      <c r="AD120" s="17" cm="1">
        <f t="array" ref="AD120">$H120 *
IF(ISNUMBER(SEARCH("Rapid",$L120)),7/6,1) *
IF(OR(ISNUMBER(SEARCH("Beam",$L120)),ISNUMBER(SEARCH("Firestorm",$L120))),1, IF(ISNUMBER(SEARCH("Blast",$L120)),(4+$F120+(2-$F120)*0.5)/6*2,(4+$F120)/6)) *
IF(ISNUMBER(SEARCH("Fusion",$L120)), _xlfn.IFS(AD$24-$I120 &lt;=1, 9/10, AD$24-$I120 &lt;=10,(11-(AD$24-$I120))/10, AD$24-$I120 &gt;=11, 0),
_xlfn.IFS(AD$24-$I120 &lt;=1, 5/6, AD$24-$I120 &lt;=5, (7-(AD$24-$I120))/6, AND(AD$24-$I120 =6,NOT(_xlfn.IFNA(ISNUMBER(SEARCH("Rending",$L120)),FALSE))), (7-(AD$24-$I120))/6, AND(AD$24-$I120 &gt;=7,NOT(_xlfn.IFNA(ISNUMBER(SEARCH("Rending",$L120)),FALSE))), 0, AD$24-$I120 =7, (7-(AD$24-1-$I120))/6, AD$24-$I120 =8, (7-(AD$24-2-$I120))/6*2/3, AD$24-$I120 =9, (7-(AD$24-3-$I120))/6*1/3, TRUE, 0)) *
IF(ISNUMBER(SEARCH("Ordinance",$L120)),7/6,1) *
IF(OR(ISNUMBER(SEARCH("Melee",$L120)),ISNUMBER(SEARCH("Bypass",$L120))),1.5,1)</f>
        <v>0</v>
      </c>
      <c r="AE120" s="17" cm="1">
        <f t="array" ref="AE120">$H120 *
IF(ISNUMBER(SEARCH("Rapid",$L120)),7/6,1) *
IF(OR(ISNUMBER(SEARCH("Beam",$L120)),ISNUMBER(SEARCH("Firestorm",$L120))),1, IF(ISNUMBER(SEARCH("Blast",$L120)),(4+$F120+(2-$F120)*0.5)/6*2,(4+$F120)/6)) *
IF(ISNUMBER(SEARCH("Fusion",$L120)), _xlfn.IFS(AE$24-$I120 &lt;=1, 9/10, AE$24-$I120 &lt;=10,(11-(AE$24-$I120))/10, AE$24-$I120 &gt;=11, 0),
_xlfn.IFS(AE$24-$I120 &lt;=1, 5/6, AE$24-$I120 &lt;=5, (7-(AE$24-$I120))/6, AND(AE$24-$I120 =6,NOT(_xlfn.IFNA(ISNUMBER(SEARCH("Rending",$L120)),FALSE))), (7-(AE$24-$I120))/6, AND(AE$24-$I120 &gt;=7,NOT(_xlfn.IFNA(ISNUMBER(SEARCH("Rending",$L120)),FALSE))), 0, AE$24-$I120 =7, (7-(AE$24-1-$I120))/6, AE$24-$I120 =8, (7-(AE$24-2-$I120))/6*2/3, AE$24-$I120 =9, (7-(AE$24-3-$I120))/6*1/3, TRUE, 0)) *
IF(ISNUMBER(SEARCH("Ordinance",$L120)),7/6,1) *
IF(OR(ISNUMBER(SEARCH("Melee",$L120)),ISNUMBER(SEARCH("Bypass",$L120))),1.5,1)</f>
        <v>0</v>
      </c>
      <c r="AF120" s="17" cm="1">
        <f t="array" ref="AF120">$H120 *
IF(ISNUMBER(SEARCH("Rapid",$L120)),7/6,1) *
IF(OR(ISNUMBER(SEARCH("Beam",$L120)),ISNUMBER(SEARCH("Firestorm",$L120))),1, IF(ISNUMBER(SEARCH("Blast",$L120)),(4+$F120+(2-$F120)*0.5)/6*2,(4+$F120)/6)) *
IF(ISNUMBER(SEARCH("Fusion",$L120)), _xlfn.IFS(AF$24-$I120 &lt;=1, 9/10, AF$24-$I120 &lt;=10,(11-(AF$24-$I120))/10, AF$24-$I120 &gt;=11, 0),
_xlfn.IFS(AF$24-$I120 &lt;=1, 5/6, AF$24-$I120 &lt;=5, (7-(AF$24-$I120))/6, AND(AF$24-$I120 =6,NOT(_xlfn.IFNA(ISNUMBER(SEARCH("Rending",$L120)),FALSE))), (7-(AF$24-$I120))/6, AND(AF$24-$I120 &gt;=7,NOT(_xlfn.IFNA(ISNUMBER(SEARCH("Rending",$L120)),FALSE))), 0, AF$24-$I120 =7, (7-(AF$24-1-$I120))/6, AF$24-$I120 =8, (7-(AF$24-2-$I120))/6*2/3, AF$24-$I120 =9, (7-(AF$24-3-$I120))/6*1/3, TRUE, 0)) *
IF(ISNUMBER(SEARCH("Ordinance",$L120)),7/6,1) *
IF(OR(ISNUMBER(SEARCH("Melee",$L120)),ISNUMBER(SEARCH("Bypass",$L120))),1.5,1)</f>
        <v>0</v>
      </c>
      <c r="AG120" s="16">
        <f t="shared" si="22"/>
        <v>0</v>
      </c>
      <c r="AH120" s="16">
        <f t="shared" si="23"/>
        <v>0</v>
      </c>
      <c r="AI120" s="17" cm="1">
        <f t="array" ref="AI120">$H120 *
IF(ISNUMBER(SEARCH("Rapid",$L120)),7/6,1) *
IF(OR(ISNUMBER(SEARCH("Beam",$L120)),ISNUMBER(SEARCH("Firestorm",$L120))),1, IF(ISNUMBER(SEARCH("Blast",$L120)),(4+$G120+(2-$G120)*0.5)/6*2,(4+$G120)/6)) *
_xlfn.IFS(AI$24-$I120 &lt;=1, 5/6, AI$24-$I120 &lt;=5, (7-(AI$24-$I120))/6, AND(AI$24-$I120 =6,NOT(_xlfn.IFNA(ISNUMBER(SEARCH("Rending",$L120)),FALSE))), (7-(AI$24-$I120))/6, AND(AI$24-$I120 &gt;=7,NOT(_xlfn.IFNA(ISNUMBER(SEARCH("Rending",$L120)),FALSE))), 0, AI$24-$I120 =7, (7-(AI$24-1-$I120))/6, AI$24-$I120 =8, (7-(AI$24-2-$I120))/6*2/3, AI$24-$I120 =9, (7-(AI$24-3-$I120))/6*1/3, TRUE, 0) *
IF(ISNUMBER(SEARCH("Ordinance",$L120)),7/6,1) *
IF(OR(ISNUMBER(SEARCH("Melee",$L120)),ISNUMBER(SEARCH("Bypass",$L120))),1.5,1)</f>
        <v>0</v>
      </c>
      <c r="AJ120" s="17" cm="1">
        <f t="array" ref="AJ120">$H120 *
IF(ISNUMBER(SEARCH("Rapid",$L120)),7/6,1) *
IF(OR(ISNUMBER(SEARCH("Beam",$L120)),ISNUMBER(SEARCH("Firestorm",$L120))),1, IF(ISNUMBER(SEARCH("Blast",$L120)),(4+$G120+(2-$G120)*0.5)/6*2,(4+$G120)/6)) *
_xlfn.IFS(AJ$24-$I120 &lt;=1, 5/6, AJ$24-$I120 &lt;=5, (7-(AJ$24-$I120))/6, AND(AJ$24-$I120 =6,NOT(_xlfn.IFNA(ISNUMBER(SEARCH("Rending",$L120)),FALSE))), (7-(AJ$24-$I120))/6, AND(AJ$24-$I120 &gt;=7,NOT(_xlfn.IFNA(ISNUMBER(SEARCH("Rending",$L120)),FALSE))), 0, AJ$24-$I120 =7, (7-(AJ$24-1-$I120))/6, AJ$24-$I120 =8, (7-(AJ$24-2-$I120))/6*2/3, AJ$24-$I120 =9, (7-(AJ$24-3-$I120))/6*1/3, TRUE, 0) *
IF(ISNUMBER(SEARCH("Ordinance",$L120)),7/6,1) *
IF(OR(ISNUMBER(SEARCH("Melee",$L120)),ISNUMBER(SEARCH("Bypass",$L120))),1.5,1)</f>
        <v>0</v>
      </c>
      <c r="AK120" s="17" cm="1">
        <f t="array" ref="AK120">$H120 *
IF(ISNUMBER(SEARCH("Rapid",$L120)),7/6,1) *
IF(OR(ISNUMBER(SEARCH("Beam",$L120)),ISNUMBER(SEARCH("Firestorm",$L120))),1, IF(ISNUMBER(SEARCH("Blast",$L120)),(4+$G120+(2-$G120)*0.5)/6*2,(4+$G120)/6)) *
_xlfn.IFS(AK$24-$I120 &lt;=1, 5/6, AK$24-$I120 &lt;=5, (7-(AK$24-$I120))/6, AND(AK$24-$I120 =6,NOT(_xlfn.IFNA(ISNUMBER(SEARCH("Rending",$L120)),FALSE))), (7-(AK$24-$I120))/6, AND(AK$24-$I120 &gt;=7,NOT(_xlfn.IFNA(ISNUMBER(SEARCH("Rending",$L120)),FALSE))), 0, AK$24-$I120 =7, (7-(AK$24-1-$I120))/6, AK$24-$I120 =8, (7-(AK$24-2-$I120))/6*2/3, AK$24-$I120 =9, (7-(AK$24-3-$I120))/6*1/3, TRUE, 0) *
IF(ISNUMBER(SEARCH("Ordinance",$L120)),7/6,1) *
IF(OR(ISNUMBER(SEARCH("Melee",$L120)),ISNUMBER(SEARCH("Bypass",$L120))),1.5,1)</f>
        <v>0</v>
      </c>
      <c r="AL120" s="17" cm="1">
        <f t="array" ref="AL120">$H120 *
IF(ISNUMBER(SEARCH("Rapid",$L120)),7/6,1) *
IF(OR(ISNUMBER(SEARCH("Beam",$L120)),ISNUMBER(SEARCH("Firestorm",$L120))),1, IF(ISNUMBER(SEARCH("Blast",$L120)),(4+$G120+(2-$G120)*0.5)/6*2,(4+$G120)/6)) *
_xlfn.IFS(AL$24-$I120 &lt;=1, 5/6, AL$24-$I120 &lt;=5, (7-(AL$24-$I120))/6, AND(AL$24-$I120 =6,NOT(_xlfn.IFNA(ISNUMBER(SEARCH("Rending",$L120)),FALSE))), (7-(AL$24-$I120))/6, AND(AL$24-$I120 &gt;=7,NOT(_xlfn.IFNA(ISNUMBER(SEARCH("Rending",$L120)),FALSE))), 0, AL$24-$I120 =7, (7-(AL$24-1-$I120))/6, AL$24-$I120 =8, (7-(AL$24-2-$I120))/6*2/3, AL$24-$I120 =9, (7-(AL$24-3-$I120))/6*1/3, TRUE, 0) *
IF(ISNUMBER(SEARCH("Ordinance",$L120)),7/6,1) *
IF(OR(ISNUMBER(SEARCH("Melee",$L120)),ISNUMBER(SEARCH("Bypass",$L120))),1.5,1)</f>
        <v>0</v>
      </c>
      <c r="AM120" s="17" cm="1">
        <f t="array" ref="AM120">$H120 *
IF(ISNUMBER(SEARCH("Rapid",$L120)),7/6,1) *
IF(OR(ISNUMBER(SEARCH("Beam",$L120)),ISNUMBER(SEARCH("Firestorm",$L120))),1, IF(ISNUMBER(SEARCH("Blast",$L120)),(4+$G120+(2-$G120)*0.5)/6*2,(4+$G120)/6)) *
_xlfn.IFS(AM$24-$I120 &lt;=1, 5/6, AM$24-$I120 &lt;=5, (7-(AM$24-$I120))/6, AND(AM$24-$I120 =6,NOT(_xlfn.IFNA(ISNUMBER(SEARCH("Rending",$L120)),FALSE))), (7-(AM$24-$I120))/6, AND(AM$24-$I120 &gt;=7,NOT(_xlfn.IFNA(ISNUMBER(SEARCH("Rending",$L120)),FALSE))), 0, AM$24-$I120 =7, (7-(AM$24-1-$I120))/6, AM$24-$I120 =8, (7-(AM$24-2-$I120))/6*2/3, AM$24-$I120 =9, (7-(AM$24-3-$I120))/6*1/3, TRUE, 0) *
IF(ISNUMBER(SEARCH("Ordinance",$L120)),7/6,1) *
IF(OR(ISNUMBER(SEARCH("Melee",$L120)),ISNUMBER(SEARCH("Bypass",$L120))),1.5,1)</f>
        <v>0</v>
      </c>
      <c r="AN120" s="17" cm="1">
        <f t="array" ref="AN120">$H120 *
IF(ISNUMBER(SEARCH("Rapid",$L120)),7/6,1) *
IF(OR(ISNUMBER(SEARCH("Beam",$L120)),ISNUMBER(SEARCH("Firestorm",$L120))),1, IF(ISNUMBER(SEARCH("Blast",$L120)),(4+$G120+(2-$G120)*0.5)/6*2,(4+$G120)/6)) *
_xlfn.IFS(AN$24-$I120 &lt;=1, 5/6, AN$24-$I120 &lt;=5, (7-(AN$24-$I120))/6, AND(AN$24-$I120 =6,NOT(_xlfn.IFNA(ISNUMBER(SEARCH("Rending",$L120)),FALSE))), (7-(AN$24-$I120))/6, AND(AN$24-$I120 &gt;=7,NOT(_xlfn.IFNA(ISNUMBER(SEARCH("Rending",$L120)),FALSE))), 0, AN$24-$I120 =7, (7-(AN$24-1-$I120))/6, AN$24-$I120 =8, (7-(AN$24-2-$I120))/6*2/3, AN$24-$I120 =9, (7-(AN$24-3-$I120))/6*1/3, TRUE, 0) *
IF(ISNUMBER(SEARCH("Ordinance",$L120)),7/6,1) *
IF(OR(ISNUMBER(SEARCH("Melee",$L120)),ISNUMBER(SEARCH("Bypass",$L120))),1.5,1)</f>
        <v>0</v>
      </c>
      <c r="AO120" s="17" cm="1">
        <f t="array" ref="AO120">$H120 *
IF(ISNUMBER(SEARCH("Rapid",$L120)),7/6,1) *
IF(OR(ISNUMBER(SEARCH("Beam",$L120)),ISNUMBER(SEARCH("Firestorm",$L120))),1, IF(ISNUMBER(SEARCH("Blast",$L120)),(4+$G120+(2-$G120)*0.5)/6*2,(4+$G120)/6)) *
_xlfn.IFS(AO$24-$I120 &lt;=1, 5/6, AO$24-$I120 &lt;=5, (7-(AO$24-$I120))/6, AND(AO$24-$I120 =6,NOT(_xlfn.IFNA(ISNUMBER(SEARCH("Rending",$L120)),FALSE))), (7-(AO$24-$I120))/6, AND(AO$24-$I120 &gt;=7,NOT(_xlfn.IFNA(ISNUMBER(SEARCH("Rending",$L120)),FALSE))), 0, AO$24-$I120 =7, (7-(AO$24-1-$I120))/6, AO$24-$I120 =8, (7-(AO$24-2-$I120))/6*2/3, AO$24-$I120 =9, (7-(AO$24-3-$I120))/6*1/3, TRUE, 0) *
IF(ISNUMBER(SEARCH("Ordinance",$L120)),7/6,1) *
IF(OR(ISNUMBER(SEARCH("Melee",$L120)),ISNUMBER(SEARCH("Bypass",$L120))),1.5,1)</f>
        <v>0</v>
      </c>
      <c r="AP120" s="17" cm="1">
        <f t="array" ref="AP120">$H120 *
IF(ISNUMBER(SEARCH("Rapid",$L120)),7/6,1) *
IF(OR(ISNUMBER(SEARCH("Beam",$L120)),ISNUMBER(SEARCH("Firestorm",$L120))),1, IF(ISNUMBER(SEARCH("Blast",$L120)),(4+$G120+(2-$G120)*0.5)/6*2,(4+$G120)/6)) *
_xlfn.IFS(AP$24-$I120 &lt;=1, 5/6, AP$24-$I120 &lt;=5, (7-(AP$24-$I120))/6, AND(AP$24-$I120 =6,NOT(_xlfn.IFNA(ISNUMBER(SEARCH("Rending",$L120)),FALSE))), (7-(AP$24-$I120))/6, AND(AP$24-$I120 &gt;=7,NOT(_xlfn.IFNA(ISNUMBER(SEARCH("Rending",$L120)),FALSE))), 0, AP$24-$I120 =7, (7-(AP$24-1-$I120))/6, AP$24-$I120 =8, (7-(AP$24-2-$I120))/6*2/3, AP$24-$I120 =9, (7-(AP$24-3-$I120))/6*1/3, TRUE, 0) *
IF(ISNUMBER(SEARCH("Ordinance",$L120)),7/6,1) *
IF(OR(ISNUMBER(SEARCH("Melee",$L120)),ISNUMBER(SEARCH("Bypass",$L120))),1.5,1)</f>
        <v>0</v>
      </c>
      <c r="AQ120" s="17" cm="1">
        <f t="array" ref="AQ120">$H120 *
IF(ISNUMBER(SEARCH("Rapid",$L120)),7/6,1) *
IF(OR(ISNUMBER(SEARCH("Beam",$L120)),ISNUMBER(SEARCH("Firestorm",$L120))),1, IF(ISNUMBER(SEARCH("Blast",$L120)),(4+$G120+(2-$G120)*0.5)/6*2,(4+$G120)/6)) *
_xlfn.IFS(AQ$24-$I120 &lt;=1, 5/6, AQ$24-$I120 &lt;=5, (7-(AQ$24-$I120))/6, AND(AQ$24-$I120 =6,NOT(_xlfn.IFNA(ISNUMBER(SEARCH("Rending",$L120)),FALSE))), (7-(AQ$24-$I120))/6, AND(AQ$24-$I120 &gt;=7,NOT(_xlfn.IFNA(ISNUMBER(SEARCH("Rending",$L120)),FALSE))), 0, AQ$24-$I120 =7, (7-(AQ$24-1-$I120))/6, AQ$24-$I120 =8, (7-(AQ$24-2-$I120))/6*2/3, AQ$24-$I120 =9, (7-(AQ$24-3-$I120))/6*1/3, TRUE, 0) *
IF(ISNUMBER(SEARCH("Ordinance",$L120)),7/6,1) *
IF(OR(ISNUMBER(SEARCH("Melee",$L120)),ISNUMBER(SEARCH("Bypass",$L120))),1.5,1)</f>
        <v>0</v>
      </c>
    </row>
    <row r="121" spans="1:48" x14ac:dyDescent="0.3">
      <c r="A121" t="s">
        <v>391</v>
      </c>
      <c r="B121" s="3">
        <v>30</v>
      </c>
      <c r="C121" s="3">
        <v>120</v>
      </c>
      <c r="D121" s="3">
        <v>3</v>
      </c>
      <c r="E121" s="3">
        <v>1</v>
      </c>
      <c r="F121" s="10">
        <v>0</v>
      </c>
      <c r="G121" s="10">
        <v>0</v>
      </c>
      <c r="H121" s="3">
        <v>3</v>
      </c>
      <c r="I121" s="3">
        <v>10</v>
      </c>
      <c r="J121" s="3" t="s">
        <v>259</v>
      </c>
      <c r="K121" s="3">
        <v>0</v>
      </c>
      <c r="L121" s="3" t="s">
        <v>260</v>
      </c>
      <c r="M121" s="3" t="s">
        <v>199</v>
      </c>
      <c r="N121" s="3">
        <v>11</v>
      </c>
      <c r="O121" s="3">
        <v>11</v>
      </c>
      <c r="P121" s="3">
        <v>15</v>
      </c>
      <c r="Q121" s="3" t="s">
        <v>200</v>
      </c>
      <c r="R121" s="3">
        <v>7</v>
      </c>
      <c r="S121" s="3">
        <v>9</v>
      </c>
      <c r="T121" s="3">
        <v>4</v>
      </c>
      <c r="U121" t="s">
        <v>228</v>
      </c>
      <c r="V121" s="16">
        <f t="shared" si="20"/>
        <v>1</v>
      </c>
      <c r="W121" s="16">
        <f t="shared" si="21"/>
        <v>1.5</v>
      </c>
      <c r="X121" s="17" cm="1">
        <f t="array" ref="X121">$H121 *
IF(ISNUMBER(SEARCH("Rapid",$L121)),7/6,1) *
IF(OR(ISNUMBER(SEARCH("Beam",$L121)),ISNUMBER(SEARCH("Firestorm",$L121))),1, IF(ISNUMBER(SEARCH("Blast",$L121)),(4+$F121+(2-$F121)*0.5)/6*2,(4+$F121)/6)) *
IF(ISNUMBER(SEARCH("Fusion",$L121)), _xlfn.IFS(X$24-$I121 &lt;=1, 9/10, X$24-$I121 &lt;=10,(11-(X$24-$I121))/10, X$24-$I121 &gt;=11, 0),
_xlfn.IFS(X$24-$I121 &lt;=1, 5/6, X$24-$I121 &lt;=5, (7-(X$24-$I121))/6, AND(X$24-$I121 =6,NOT(_xlfn.IFNA(ISNUMBER(SEARCH("Rending",$L121)),FALSE))), (7-(X$24-$I121))/6, AND(X$24-$I121 &gt;=7,NOT(_xlfn.IFNA(ISNUMBER(SEARCH("Rending",$L121)),FALSE))), 0, X$24-$I121 =7, (7-(X$24-1-$I121))/6, X$24-$I121 =8, (7-(X$24-2-$I121))/6*2/3, X$24-$I121 =9, (7-(X$24-3-$I121))/6*1/3, TRUE, 0)) *
IF(ISNUMBER(SEARCH("Ordinance",$L121)),7/6,1) *
IF(OR(ISNUMBER(SEARCH("Melee",$L121)),ISNUMBER(SEARCH("Bypass",$L121))),1.5,1)</f>
        <v>2.5</v>
      </c>
      <c r="Y121" s="17" cm="1">
        <f t="array" ref="Y121">$H121 *
IF(ISNUMBER(SEARCH("Rapid",$L121)),7/6,1) *
IF(OR(ISNUMBER(SEARCH("Beam",$L121)),ISNUMBER(SEARCH("Firestorm",$L121))),1, IF(ISNUMBER(SEARCH("Blast",$L121)),(4+$F121+(2-$F121)*0.5)/6*2,(4+$F121)/6)) *
IF(ISNUMBER(SEARCH("Fusion",$L121)), _xlfn.IFS(Y$24-$I121 &lt;=1, 9/10, Y$24-$I121 &lt;=10,(11-(Y$24-$I121))/10, Y$24-$I121 &gt;=11, 0),
_xlfn.IFS(Y$24-$I121 &lt;=1, 5/6, Y$24-$I121 &lt;=5, (7-(Y$24-$I121))/6, AND(Y$24-$I121 =6,NOT(_xlfn.IFNA(ISNUMBER(SEARCH("Rending",$L121)),FALSE))), (7-(Y$24-$I121))/6, AND(Y$24-$I121 &gt;=7,NOT(_xlfn.IFNA(ISNUMBER(SEARCH("Rending",$L121)),FALSE))), 0, Y$24-$I121 =7, (7-(Y$24-1-$I121))/6, Y$24-$I121 =8, (7-(Y$24-2-$I121))/6*2/3, Y$24-$I121 =9, (7-(Y$24-3-$I121))/6*1/3, TRUE, 0)) *
IF(ISNUMBER(SEARCH("Ordinance",$L121)),7/6,1) *
IF(OR(ISNUMBER(SEARCH("Melee",$L121)),ISNUMBER(SEARCH("Bypass",$L121))),1.5,1)</f>
        <v>2.5</v>
      </c>
      <c r="Z121" s="17" cm="1">
        <f t="array" ref="Z121">$H121 *
IF(ISNUMBER(SEARCH("Rapid",$L121)),7/6,1) *
IF(OR(ISNUMBER(SEARCH("Beam",$L121)),ISNUMBER(SEARCH("Firestorm",$L121))),1, IF(ISNUMBER(SEARCH("Blast",$L121)),(4+$F121+(2-$F121)*0.5)/6*2,(4+$F121)/6)) *
IF(ISNUMBER(SEARCH("Fusion",$L121)), _xlfn.IFS(Z$24-$I121 &lt;=1, 9/10, Z$24-$I121 &lt;=10,(11-(Z$24-$I121))/10, Z$24-$I121 &gt;=11, 0),
_xlfn.IFS(Z$24-$I121 &lt;=1, 5/6, Z$24-$I121 &lt;=5, (7-(Z$24-$I121))/6, AND(Z$24-$I121 =6,NOT(_xlfn.IFNA(ISNUMBER(SEARCH("Rending",$L121)),FALSE))), (7-(Z$24-$I121))/6, AND(Z$24-$I121 &gt;=7,NOT(_xlfn.IFNA(ISNUMBER(SEARCH("Rending",$L121)),FALSE))), 0, Z$24-$I121 =7, (7-(Z$24-1-$I121))/6, Z$24-$I121 =8, (7-(Z$24-2-$I121))/6*2/3, Z$24-$I121 =9, (7-(Z$24-3-$I121))/6*1/3, TRUE, 0)) *
IF(ISNUMBER(SEARCH("Ordinance",$L121)),7/6,1) *
IF(OR(ISNUMBER(SEARCH("Melee",$L121)),ISNUMBER(SEARCH("Bypass",$L121))),1.5,1)</f>
        <v>2.5</v>
      </c>
      <c r="AA121" s="17" cm="1">
        <f t="array" ref="AA121">$H121 *
IF(ISNUMBER(SEARCH("Rapid",$L121)),7/6,1) *
IF(OR(ISNUMBER(SEARCH("Beam",$L121)),ISNUMBER(SEARCH("Firestorm",$L121))),1, IF(ISNUMBER(SEARCH("Blast",$L121)),(4+$F121+(2-$F121)*0.5)/6*2,(4+$F121)/6)) *
IF(ISNUMBER(SEARCH("Fusion",$L121)), _xlfn.IFS(AA$24-$I121 &lt;=1, 9/10, AA$24-$I121 &lt;=10,(11-(AA$24-$I121))/10, AA$24-$I121 &gt;=11, 0),
_xlfn.IFS(AA$24-$I121 &lt;=1, 5/6, AA$24-$I121 &lt;=5, (7-(AA$24-$I121))/6, AND(AA$24-$I121 =6,NOT(_xlfn.IFNA(ISNUMBER(SEARCH("Rending",$L121)),FALSE))), (7-(AA$24-$I121))/6, AND(AA$24-$I121 &gt;=7,NOT(_xlfn.IFNA(ISNUMBER(SEARCH("Rending",$L121)),FALSE))), 0, AA$24-$I121 =7, (7-(AA$24-1-$I121))/6, AA$24-$I121 =8, (7-(AA$24-2-$I121))/6*2/3, AA$24-$I121 =9, (7-(AA$24-3-$I121))/6*1/3, TRUE, 0)) *
IF(ISNUMBER(SEARCH("Ordinance",$L121)),7/6,1) *
IF(OR(ISNUMBER(SEARCH("Melee",$L121)),ISNUMBER(SEARCH("Bypass",$L121))),1.5,1)</f>
        <v>2.5</v>
      </c>
      <c r="AB121" s="17" cm="1">
        <f t="array" ref="AB121">$H121 *
IF(ISNUMBER(SEARCH("Rapid",$L121)),7/6,1) *
IF(OR(ISNUMBER(SEARCH("Beam",$L121)),ISNUMBER(SEARCH("Firestorm",$L121))),1, IF(ISNUMBER(SEARCH("Blast",$L121)),(4+$F121+(2-$F121)*0.5)/6*2,(4+$F121)/6)) *
IF(ISNUMBER(SEARCH("Fusion",$L121)), _xlfn.IFS(AB$24-$I121 &lt;=1, 9/10, AB$24-$I121 &lt;=10,(11-(AB$24-$I121))/10, AB$24-$I121 &gt;=11, 0),
_xlfn.IFS(AB$24-$I121 &lt;=1, 5/6, AB$24-$I121 &lt;=5, (7-(AB$24-$I121))/6, AND(AB$24-$I121 =6,NOT(_xlfn.IFNA(ISNUMBER(SEARCH("Rending",$L121)),FALSE))), (7-(AB$24-$I121))/6, AND(AB$24-$I121 &gt;=7,NOT(_xlfn.IFNA(ISNUMBER(SEARCH("Rending",$L121)),FALSE))), 0, AB$24-$I121 =7, (7-(AB$24-1-$I121))/6, AB$24-$I121 =8, (7-(AB$24-2-$I121))/6*2/3, AB$24-$I121 =9, (7-(AB$24-3-$I121))/6*1/3, TRUE, 0)) *
IF(ISNUMBER(SEARCH("Ordinance",$L121)),7/6,1) *
IF(OR(ISNUMBER(SEARCH("Melee",$L121)),ISNUMBER(SEARCH("Bypass",$L121))),1.5,1)</f>
        <v>2</v>
      </c>
      <c r="AC121" s="17" cm="1">
        <f t="array" ref="AC121">$H121 *
IF(ISNUMBER(SEARCH("Rapid",$L121)),7/6,1) *
IF(OR(ISNUMBER(SEARCH("Beam",$L121)),ISNUMBER(SEARCH("Firestorm",$L121))),1, IF(ISNUMBER(SEARCH("Blast",$L121)),(4+$F121+(2-$F121)*0.5)/6*2,(4+$F121)/6)) *
IF(ISNUMBER(SEARCH("Fusion",$L121)), _xlfn.IFS(AC$24-$I121 &lt;=1, 9/10, AC$24-$I121 &lt;=10,(11-(AC$24-$I121))/10, AC$24-$I121 &gt;=11, 0),
_xlfn.IFS(AC$24-$I121 &lt;=1, 5/6, AC$24-$I121 &lt;=5, (7-(AC$24-$I121))/6, AND(AC$24-$I121 =6,NOT(_xlfn.IFNA(ISNUMBER(SEARCH("Rending",$L121)),FALSE))), (7-(AC$24-$I121))/6, AND(AC$24-$I121 &gt;=7,NOT(_xlfn.IFNA(ISNUMBER(SEARCH("Rending",$L121)),FALSE))), 0, AC$24-$I121 =7, (7-(AC$24-1-$I121))/6, AC$24-$I121 =8, (7-(AC$24-2-$I121))/6*2/3, AC$24-$I121 =9, (7-(AC$24-3-$I121))/6*1/3, TRUE, 0)) *
IF(ISNUMBER(SEARCH("Ordinance",$L121)),7/6,1) *
IF(OR(ISNUMBER(SEARCH("Melee",$L121)),ISNUMBER(SEARCH("Bypass",$L121))),1.5,1)</f>
        <v>1.5</v>
      </c>
      <c r="AD121" s="17" cm="1">
        <f t="array" ref="AD121">$H121 *
IF(ISNUMBER(SEARCH("Rapid",$L121)),7/6,1) *
IF(OR(ISNUMBER(SEARCH("Beam",$L121)),ISNUMBER(SEARCH("Firestorm",$L121))),1, IF(ISNUMBER(SEARCH("Blast",$L121)),(4+$F121+(2-$F121)*0.5)/6*2,(4+$F121)/6)) *
IF(ISNUMBER(SEARCH("Fusion",$L121)), _xlfn.IFS(AD$24-$I121 &lt;=1, 9/10, AD$24-$I121 &lt;=10,(11-(AD$24-$I121))/10, AD$24-$I121 &gt;=11, 0),
_xlfn.IFS(AD$24-$I121 &lt;=1, 5/6, AD$24-$I121 &lt;=5, (7-(AD$24-$I121))/6, AND(AD$24-$I121 =6,NOT(_xlfn.IFNA(ISNUMBER(SEARCH("Rending",$L121)),FALSE))), (7-(AD$24-$I121))/6, AND(AD$24-$I121 &gt;=7,NOT(_xlfn.IFNA(ISNUMBER(SEARCH("Rending",$L121)),FALSE))), 0, AD$24-$I121 =7, (7-(AD$24-1-$I121))/6, AD$24-$I121 =8, (7-(AD$24-2-$I121))/6*2/3, AD$24-$I121 =9, (7-(AD$24-3-$I121))/6*1/3, TRUE, 0)) *
IF(ISNUMBER(SEARCH("Ordinance",$L121)),7/6,1) *
IF(OR(ISNUMBER(SEARCH("Melee",$L121)),ISNUMBER(SEARCH("Bypass",$L121))),1.5,1)</f>
        <v>1</v>
      </c>
      <c r="AE121" s="17" cm="1">
        <f t="array" ref="AE121">$H121 *
IF(ISNUMBER(SEARCH("Rapid",$L121)),7/6,1) *
IF(OR(ISNUMBER(SEARCH("Beam",$L121)),ISNUMBER(SEARCH("Firestorm",$L121))),1, IF(ISNUMBER(SEARCH("Blast",$L121)),(4+$F121+(2-$F121)*0.5)/6*2,(4+$F121)/6)) *
IF(ISNUMBER(SEARCH("Fusion",$L121)), _xlfn.IFS(AE$24-$I121 &lt;=1, 9/10, AE$24-$I121 &lt;=10,(11-(AE$24-$I121))/10, AE$24-$I121 &gt;=11, 0),
_xlfn.IFS(AE$24-$I121 &lt;=1, 5/6, AE$24-$I121 &lt;=5, (7-(AE$24-$I121))/6, AND(AE$24-$I121 =6,NOT(_xlfn.IFNA(ISNUMBER(SEARCH("Rending",$L121)),FALSE))), (7-(AE$24-$I121))/6, AND(AE$24-$I121 &gt;=7,NOT(_xlfn.IFNA(ISNUMBER(SEARCH("Rending",$L121)),FALSE))), 0, AE$24-$I121 =7, (7-(AE$24-1-$I121))/6, AE$24-$I121 =8, (7-(AE$24-2-$I121))/6*2/3, AE$24-$I121 =9, (7-(AE$24-3-$I121))/6*1/3, TRUE, 0)) *
IF(ISNUMBER(SEARCH("Ordinance",$L121)),7/6,1) *
IF(OR(ISNUMBER(SEARCH("Melee",$L121)),ISNUMBER(SEARCH("Bypass",$L121))),1.5,1)</f>
        <v>0.5</v>
      </c>
      <c r="AF121" s="17" cm="1">
        <f t="array" ref="AF121">$H121 *
IF(ISNUMBER(SEARCH("Rapid",$L121)),7/6,1) *
IF(OR(ISNUMBER(SEARCH("Beam",$L121)),ISNUMBER(SEARCH("Firestorm",$L121))),1, IF(ISNUMBER(SEARCH("Blast",$L121)),(4+$F121+(2-$F121)*0.5)/6*2,(4+$F121)/6)) *
IF(ISNUMBER(SEARCH("Fusion",$L121)), _xlfn.IFS(AF$24-$I121 &lt;=1, 9/10, AF$24-$I121 &lt;=10,(11-(AF$24-$I121))/10, AF$24-$I121 &gt;=11, 0),
_xlfn.IFS(AF$24-$I121 &lt;=1, 5/6, AF$24-$I121 &lt;=5, (7-(AF$24-$I121))/6, AND(AF$24-$I121 =6,NOT(_xlfn.IFNA(ISNUMBER(SEARCH("Rending",$L121)),FALSE))), (7-(AF$24-$I121))/6, AND(AF$24-$I121 &gt;=7,NOT(_xlfn.IFNA(ISNUMBER(SEARCH("Rending",$L121)),FALSE))), 0, AF$24-$I121 =7, (7-(AF$24-1-$I121))/6, AF$24-$I121 =8, (7-(AF$24-2-$I121))/6*2/3, AF$24-$I121 =9, (7-(AF$24-3-$I121))/6*1/3, TRUE, 0)) *
IF(ISNUMBER(SEARCH("Ordinance",$L121)),7/6,1) *
IF(OR(ISNUMBER(SEARCH("Melee",$L121)),ISNUMBER(SEARCH("Bypass",$L121))),1.5,1)</f>
        <v>0</v>
      </c>
      <c r="AG121" s="16">
        <f t="shared" si="22"/>
        <v>1</v>
      </c>
      <c r="AH121" s="16">
        <f t="shared" si="23"/>
        <v>1.5</v>
      </c>
      <c r="AI121" s="17" cm="1">
        <f t="array" ref="AI121">$H121 *
IF(ISNUMBER(SEARCH("Rapid",$L121)),7/6,1) *
IF(OR(ISNUMBER(SEARCH("Beam",$L121)),ISNUMBER(SEARCH("Firestorm",$L121))),1, IF(ISNUMBER(SEARCH("Blast",$L121)),(4+$G121+(2-$G121)*0.5)/6*2,(4+$G121)/6)) *
_xlfn.IFS(AI$24-$I121 &lt;=1, 5/6, AI$24-$I121 &lt;=5, (7-(AI$24-$I121))/6, AND(AI$24-$I121 =6,NOT(_xlfn.IFNA(ISNUMBER(SEARCH("Rending",$L121)),FALSE))), (7-(AI$24-$I121))/6, AND(AI$24-$I121 &gt;=7,NOT(_xlfn.IFNA(ISNUMBER(SEARCH("Rending",$L121)),FALSE))), 0, AI$24-$I121 =7, (7-(AI$24-1-$I121))/6, AI$24-$I121 =8, (7-(AI$24-2-$I121))/6*2/3, AI$24-$I121 =9, (7-(AI$24-3-$I121))/6*1/3, TRUE, 0) *
IF(ISNUMBER(SEARCH("Ordinance",$L121)),7/6,1) *
IF(OR(ISNUMBER(SEARCH("Melee",$L121)),ISNUMBER(SEARCH("Bypass",$L121))),1.5,1)</f>
        <v>2.5</v>
      </c>
      <c r="AJ121" s="17" cm="1">
        <f t="array" ref="AJ121">$H121 *
IF(ISNUMBER(SEARCH("Rapid",$L121)),7/6,1) *
IF(OR(ISNUMBER(SEARCH("Beam",$L121)),ISNUMBER(SEARCH("Firestorm",$L121))),1, IF(ISNUMBER(SEARCH("Blast",$L121)),(4+$G121+(2-$G121)*0.5)/6*2,(4+$G121)/6)) *
_xlfn.IFS(AJ$24-$I121 &lt;=1, 5/6, AJ$24-$I121 &lt;=5, (7-(AJ$24-$I121))/6, AND(AJ$24-$I121 =6,NOT(_xlfn.IFNA(ISNUMBER(SEARCH("Rending",$L121)),FALSE))), (7-(AJ$24-$I121))/6, AND(AJ$24-$I121 &gt;=7,NOT(_xlfn.IFNA(ISNUMBER(SEARCH("Rending",$L121)),FALSE))), 0, AJ$24-$I121 =7, (7-(AJ$24-1-$I121))/6, AJ$24-$I121 =8, (7-(AJ$24-2-$I121))/6*2/3, AJ$24-$I121 =9, (7-(AJ$24-3-$I121))/6*1/3, TRUE, 0) *
IF(ISNUMBER(SEARCH("Ordinance",$L121)),7/6,1) *
IF(OR(ISNUMBER(SEARCH("Melee",$L121)),ISNUMBER(SEARCH("Bypass",$L121))),1.5,1)</f>
        <v>2.5</v>
      </c>
      <c r="AK121" s="17" cm="1">
        <f t="array" ref="AK121">$H121 *
IF(ISNUMBER(SEARCH("Rapid",$L121)),7/6,1) *
IF(OR(ISNUMBER(SEARCH("Beam",$L121)),ISNUMBER(SEARCH("Firestorm",$L121))),1, IF(ISNUMBER(SEARCH("Blast",$L121)),(4+$G121+(2-$G121)*0.5)/6*2,(4+$G121)/6)) *
_xlfn.IFS(AK$24-$I121 &lt;=1, 5/6, AK$24-$I121 &lt;=5, (7-(AK$24-$I121))/6, AND(AK$24-$I121 =6,NOT(_xlfn.IFNA(ISNUMBER(SEARCH("Rending",$L121)),FALSE))), (7-(AK$24-$I121))/6, AND(AK$24-$I121 &gt;=7,NOT(_xlfn.IFNA(ISNUMBER(SEARCH("Rending",$L121)),FALSE))), 0, AK$24-$I121 =7, (7-(AK$24-1-$I121))/6, AK$24-$I121 =8, (7-(AK$24-2-$I121))/6*2/3, AK$24-$I121 =9, (7-(AK$24-3-$I121))/6*1/3, TRUE, 0) *
IF(ISNUMBER(SEARCH("Ordinance",$L121)),7/6,1) *
IF(OR(ISNUMBER(SEARCH("Melee",$L121)),ISNUMBER(SEARCH("Bypass",$L121))),1.5,1)</f>
        <v>2.5</v>
      </c>
      <c r="AL121" s="17" cm="1">
        <f t="array" ref="AL121">$H121 *
IF(ISNUMBER(SEARCH("Rapid",$L121)),7/6,1) *
IF(OR(ISNUMBER(SEARCH("Beam",$L121)),ISNUMBER(SEARCH("Firestorm",$L121))),1, IF(ISNUMBER(SEARCH("Blast",$L121)),(4+$G121+(2-$G121)*0.5)/6*2,(4+$G121)/6)) *
_xlfn.IFS(AL$24-$I121 &lt;=1, 5/6, AL$24-$I121 &lt;=5, (7-(AL$24-$I121))/6, AND(AL$24-$I121 =6,NOT(_xlfn.IFNA(ISNUMBER(SEARCH("Rending",$L121)),FALSE))), (7-(AL$24-$I121))/6, AND(AL$24-$I121 &gt;=7,NOT(_xlfn.IFNA(ISNUMBER(SEARCH("Rending",$L121)),FALSE))), 0, AL$24-$I121 =7, (7-(AL$24-1-$I121))/6, AL$24-$I121 =8, (7-(AL$24-2-$I121))/6*2/3, AL$24-$I121 =9, (7-(AL$24-3-$I121))/6*1/3, TRUE, 0) *
IF(ISNUMBER(SEARCH("Ordinance",$L121)),7/6,1) *
IF(OR(ISNUMBER(SEARCH("Melee",$L121)),ISNUMBER(SEARCH("Bypass",$L121))),1.5,1)</f>
        <v>2.5</v>
      </c>
      <c r="AM121" s="17" cm="1">
        <f t="array" ref="AM121">$H121 *
IF(ISNUMBER(SEARCH("Rapid",$L121)),7/6,1) *
IF(OR(ISNUMBER(SEARCH("Beam",$L121)),ISNUMBER(SEARCH("Firestorm",$L121))),1, IF(ISNUMBER(SEARCH("Blast",$L121)),(4+$G121+(2-$G121)*0.5)/6*2,(4+$G121)/6)) *
_xlfn.IFS(AM$24-$I121 &lt;=1, 5/6, AM$24-$I121 &lt;=5, (7-(AM$24-$I121))/6, AND(AM$24-$I121 =6,NOT(_xlfn.IFNA(ISNUMBER(SEARCH("Rending",$L121)),FALSE))), (7-(AM$24-$I121))/6, AND(AM$24-$I121 &gt;=7,NOT(_xlfn.IFNA(ISNUMBER(SEARCH("Rending",$L121)),FALSE))), 0, AM$24-$I121 =7, (7-(AM$24-1-$I121))/6, AM$24-$I121 =8, (7-(AM$24-2-$I121))/6*2/3, AM$24-$I121 =9, (7-(AM$24-3-$I121))/6*1/3, TRUE, 0) *
IF(ISNUMBER(SEARCH("Ordinance",$L121)),7/6,1) *
IF(OR(ISNUMBER(SEARCH("Melee",$L121)),ISNUMBER(SEARCH("Bypass",$L121))),1.5,1)</f>
        <v>2</v>
      </c>
      <c r="AN121" s="17" cm="1">
        <f t="array" ref="AN121">$H121 *
IF(ISNUMBER(SEARCH("Rapid",$L121)),7/6,1) *
IF(OR(ISNUMBER(SEARCH("Beam",$L121)),ISNUMBER(SEARCH("Firestorm",$L121))),1, IF(ISNUMBER(SEARCH("Blast",$L121)),(4+$G121+(2-$G121)*0.5)/6*2,(4+$G121)/6)) *
_xlfn.IFS(AN$24-$I121 &lt;=1, 5/6, AN$24-$I121 &lt;=5, (7-(AN$24-$I121))/6, AND(AN$24-$I121 =6,NOT(_xlfn.IFNA(ISNUMBER(SEARCH("Rending",$L121)),FALSE))), (7-(AN$24-$I121))/6, AND(AN$24-$I121 &gt;=7,NOT(_xlfn.IFNA(ISNUMBER(SEARCH("Rending",$L121)),FALSE))), 0, AN$24-$I121 =7, (7-(AN$24-1-$I121))/6, AN$24-$I121 =8, (7-(AN$24-2-$I121))/6*2/3, AN$24-$I121 =9, (7-(AN$24-3-$I121))/6*1/3, TRUE, 0) *
IF(ISNUMBER(SEARCH("Ordinance",$L121)),7/6,1) *
IF(OR(ISNUMBER(SEARCH("Melee",$L121)),ISNUMBER(SEARCH("Bypass",$L121))),1.5,1)</f>
        <v>1.5</v>
      </c>
      <c r="AO121" s="17" cm="1">
        <f t="array" ref="AO121">$H121 *
IF(ISNUMBER(SEARCH("Rapid",$L121)),7/6,1) *
IF(OR(ISNUMBER(SEARCH("Beam",$L121)),ISNUMBER(SEARCH("Firestorm",$L121))),1, IF(ISNUMBER(SEARCH("Blast",$L121)),(4+$G121+(2-$G121)*0.5)/6*2,(4+$G121)/6)) *
_xlfn.IFS(AO$24-$I121 &lt;=1, 5/6, AO$24-$I121 &lt;=5, (7-(AO$24-$I121))/6, AND(AO$24-$I121 =6,NOT(_xlfn.IFNA(ISNUMBER(SEARCH("Rending",$L121)),FALSE))), (7-(AO$24-$I121))/6, AND(AO$24-$I121 &gt;=7,NOT(_xlfn.IFNA(ISNUMBER(SEARCH("Rending",$L121)),FALSE))), 0, AO$24-$I121 =7, (7-(AO$24-1-$I121))/6, AO$24-$I121 =8, (7-(AO$24-2-$I121))/6*2/3, AO$24-$I121 =9, (7-(AO$24-3-$I121))/6*1/3, TRUE, 0) *
IF(ISNUMBER(SEARCH("Ordinance",$L121)),7/6,1) *
IF(OR(ISNUMBER(SEARCH("Melee",$L121)),ISNUMBER(SEARCH("Bypass",$L121))),1.5,1)</f>
        <v>1</v>
      </c>
      <c r="AP121" s="17" cm="1">
        <f t="array" ref="AP121">$H121 *
IF(ISNUMBER(SEARCH("Rapid",$L121)),7/6,1) *
IF(OR(ISNUMBER(SEARCH("Beam",$L121)),ISNUMBER(SEARCH("Firestorm",$L121))),1, IF(ISNUMBER(SEARCH("Blast",$L121)),(4+$G121+(2-$G121)*0.5)/6*2,(4+$G121)/6)) *
_xlfn.IFS(AP$24-$I121 &lt;=1, 5/6, AP$24-$I121 &lt;=5, (7-(AP$24-$I121))/6, AND(AP$24-$I121 =6,NOT(_xlfn.IFNA(ISNUMBER(SEARCH("Rending",$L121)),FALSE))), (7-(AP$24-$I121))/6, AND(AP$24-$I121 &gt;=7,NOT(_xlfn.IFNA(ISNUMBER(SEARCH("Rending",$L121)),FALSE))), 0, AP$24-$I121 =7, (7-(AP$24-1-$I121))/6, AP$24-$I121 =8, (7-(AP$24-2-$I121))/6*2/3, AP$24-$I121 =9, (7-(AP$24-3-$I121))/6*1/3, TRUE, 0) *
IF(ISNUMBER(SEARCH("Ordinance",$L121)),7/6,1) *
IF(OR(ISNUMBER(SEARCH("Melee",$L121)),ISNUMBER(SEARCH("Bypass",$L121))),1.5,1)</f>
        <v>0.5</v>
      </c>
      <c r="AQ121" s="17" cm="1">
        <f t="array" ref="AQ121">$H121 *
IF(ISNUMBER(SEARCH("Rapid",$L121)),7/6,1) *
IF(OR(ISNUMBER(SEARCH("Beam",$L121)),ISNUMBER(SEARCH("Firestorm",$L121))),1, IF(ISNUMBER(SEARCH("Blast",$L121)),(4+$G121+(2-$G121)*0.5)/6*2,(4+$G121)/6)) *
_xlfn.IFS(AQ$24-$I121 &lt;=1, 5/6, AQ$24-$I121 &lt;=5, (7-(AQ$24-$I121))/6, AND(AQ$24-$I121 =6,NOT(_xlfn.IFNA(ISNUMBER(SEARCH("Rending",$L121)),FALSE))), (7-(AQ$24-$I121))/6, AND(AQ$24-$I121 &gt;=7,NOT(_xlfn.IFNA(ISNUMBER(SEARCH("Rending",$L121)),FALSE))), 0, AQ$24-$I121 =7, (7-(AQ$24-1-$I121))/6, AQ$24-$I121 =8, (7-(AQ$24-2-$I121))/6*2/3, AQ$24-$I121 =9, (7-(AQ$24-3-$I121))/6*1/3, TRUE, 0) *
IF(ISNUMBER(SEARCH("Ordinance",$L121)),7/6,1) *
IF(OR(ISNUMBER(SEARCH("Melee",$L121)),ISNUMBER(SEARCH("Bypass",$L121))),1.5,1)</f>
        <v>0</v>
      </c>
      <c r="AS121" s="16">
        <f>IF($E121=1,AG121*3,IF($E121=2,2*AG121,1.1*AG121))/3</f>
        <v>1</v>
      </c>
      <c r="AT121" s="16">
        <f>IF($E121=1,AH121*3,IF($E121=2,2*AH121,1.1*AH121))/3</f>
        <v>1.5</v>
      </c>
      <c r="AU121" s="16">
        <f>IF(D121+E121=3,
 IF(E121=3, 2.5*AI121,
  IF(E121=2, 1.8*AI121+0.7*X121,
   IF(E121=1, 0.95*AI121+1.55*X121,
    2.5*X121))),
 IF(D121+E121=2,
  IF(E121=2, 1.55*AI121,
   IF(E121 =1, 0.85*AI121+0.7*X121,
    1.55*X121)),
  IF(E121=1, 0.95*AI121,
   0.7*X121))
)/3</f>
        <v>0.79166666666666663</v>
      </c>
      <c r="AV121" s="2">
        <v>12</v>
      </c>
    </row>
    <row r="122" spans="1:48" x14ac:dyDescent="0.3">
      <c r="A122" t="s">
        <v>240</v>
      </c>
      <c r="B122" s="3">
        <v>2</v>
      </c>
      <c r="C122" s="8" t="s">
        <v>197</v>
      </c>
      <c r="D122" s="8">
        <v>1</v>
      </c>
      <c r="E122" s="8">
        <v>0</v>
      </c>
      <c r="F122" s="10">
        <v>2</v>
      </c>
      <c r="G122" s="10">
        <v>0</v>
      </c>
      <c r="H122" s="3">
        <v>3</v>
      </c>
      <c r="I122" s="3">
        <v>12</v>
      </c>
      <c r="J122" s="3" t="s">
        <v>248</v>
      </c>
      <c r="K122" s="3">
        <v>0</v>
      </c>
      <c r="L122" s="3" t="s">
        <v>219</v>
      </c>
      <c r="M122" s="3" t="s">
        <v>199</v>
      </c>
      <c r="N122" s="3">
        <v>11</v>
      </c>
      <c r="O122" s="3">
        <v>11</v>
      </c>
      <c r="P122" s="3">
        <v>15</v>
      </c>
      <c r="Q122" s="3" t="s">
        <v>200</v>
      </c>
      <c r="R122" s="3">
        <v>7</v>
      </c>
      <c r="S122" s="3">
        <v>9</v>
      </c>
      <c r="T122" s="3">
        <v>2</v>
      </c>
      <c r="V122" s="16">
        <f t="shared" si="20"/>
        <v>0</v>
      </c>
      <c r="W122" s="16">
        <f t="shared" si="21"/>
        <v>0</v>
      </c>
      <c r="X122" s="17" cm="1">
        <f t="array" ref="X122">$H122 *
IF(ISNUMBER(SEARCH("Rapid",$L122)),7/6,1) *
IF(OR(ISNUMBER(SEARCH("Beam",$L122)),ISNUMBER(SEARCH("Firestorm",$L122))),1, IF(ISNUMBER(SEARCH("Blast",$L122)),(4+$F122+(2-$F122)*0.5)/6*2,(4+$F122)/6)) *
IF(ISNUMBER(SEARCH("Fusion",$L122)), _xlfn.IFS(X$24-$I122 &lt;=1, 9/10, X$24-$I122 &lt;=10,(11-(X$24-$I122))/10, X$24-$I122 &gt;=11, 0),
_xlfn.IFS(X$24-$I122 &lt;=1, 5/6, X$24-$I122 &lt;=5, (7-(X$24-$I122))/6, AND(X$24-$I122 =6,NOT(_xlfn.IFNA(ISNUMBER(SEARCH("Rending",$L122)),FALSE))), (7-(X$24-$I122))/6, AND(X$24-$I122 &gt;=7,NOT(_xlfn.IFNA(ISNUMBER(SEARCH("Rending",$L122)),FALSE))), 0, X$24-$I122 =7, (7-(X$24-1-$I122))/6, X$24-$I122 =8, (7-(X$24-2-$I122))/6*2/3, X$24-$I122 =9, (7-(X$24-3-$I122))/6*1/3, TRUE, 0)) *
IF(ISNUMBER(SEARCH("Ordinance",$L122)),7/6,1) *
IF(OR(ISNUMBER(SEARCH("Melee",$L122)),ISNUMBER(SEARCH("Bypass",$L122))),1.5,1)</f>
        <v>3.75</v>
      </c>
      <c r="Y122" s="17" cm="1">
        <f t="array" ref="Y122">$H122 *
IF(ISNUMBER(SEARCH("Rapid",$L122)),7/6,1) *
IF(OR(ISNUMBER(SEARCH("Beam",$L122)),ISNUMBER(SEARCH("Firestorm",$L122))),1, IF(ISNUMBER(SEARCH("Blast",$L122)),(4+$F122+(2-$F122)*0.5)/6*2,(4+$F122)/6)) *
IF(ISNUMBER(SEARCH("Fusion",$L122)), _xlfn.IFS(Y$24-$I122 &lt;=1, 9/10, Y$24-$I122 &lt;=10,(11-(Y$24-$I122))/10, Y$24-$I122 &gt;=11, 0),
_xlfn.IFS(Y$24-$I122 &lt;=1, 5/6, Y$24-$I122 &lt;=5, (7-(Y$24-$I122))/6, AND(Y$24-$I122 =6,NOT(_xlfn.IFNA(ISNUMBER(SEARCH("Rending",$L122)),FALSE))), (7-(Y$24-$I122))/6, AND(Y$24-$I122 &gt;=7,NOT(_xlfn.IFNA(ISNUMBER(SEARCH("Rending",$L122)),FALSE))), 0, Y$24-$I122 =7, (7-(Y$24-1-$I122))/6, Y$24-$I122 =8, (7-(Y$24-2-$I122))/6*2/3, Y$24-$I122 =9, (7-(Y$24-3-$I122))/6*1/3, TRUE, 0)) *
IF(ISNUMBER(SEARCH("Ordinance",$L122)),7/6,1) *
IF(OR(ISNUMBER(SEARCH("Melee",$L122)),ISNUMBER(SEARCH("Bypass",$L122))),1.5,1)</f>
        <v>3.75</v>
      </c>
      <c r="Z122" s="17" cm="1">
        <f t="array" ref="Z122">$H122 *
IF(ISNUMBER(SEARCH("Rapid",$L122)),7/6,1) *
IF(OR(ISNUMBER(SEARCH("Beam",$L122)),ISNUMBER(SEARCH("Firestorm",$L122))),1, IF(ISNUMBER(SEARCH("Blast",$L122)),(4+$F122+(2-$F122)*0.5)/6*2,(4+$F122)/6)) *
IF(ISNUMBER(SEARCH("Fusion",$L122)), _xlfn.IFS(Z$24-$I122 &lt;=1, 9/10, Z$24-$I122 &lt;=10,(11-(Z$24-$I122))/10, Z$24-$I122 &gt;=11, 0),
_xlfn.IFS(Z$24-$I122 &lt;=1, 5/6, Z$24-$I122 &lt;=5, (7-(Z$24-$I122))/6, AND(Z$24-$I122 =6,NOT(_xlfn.IFNA(ISNUMBER(SEARCH("Rending",$L122)),FALSE))), (7-(Z$24-$I122))/6, AND(Z$24-$I122 &gt;=7,NOT(_xlfn.IFNA(ISNUMBER(SEARCH("Rending",$L122)),FALSE))), 0, Z$24-$I122 =7, (7-(Z$24-1-$I122))/6, Z$24-$I122 =8, (7-(Z$24-2-$I122))/6*2/3, Z$24-$I122 =9, (7-(Z$24-3-$I122))/6*1/3, TRUE, 0)) *
IF(ISNUMBER(SEARCH("Ordinance",$L122)),7/6,1) *
IF(OR(ISNUMBER(SEARCH("Melee",$L122)),ISNUMBER(SEARCH("Bypass",$L122))),1.5,1)</f>
        <v>3.75</v>
      </c>
      <c r="AA122" s="17" cm="1">
        <f t="array" ref="AA122">$H122 *
IF(ISNUMBER(SEARCH("Rapid",$L122)),7/6,1) *
IF(OR(ISNUMBER(SEARCH("Beam",$L122)),ISNUMBER(SEARCH("Firestorm",$L122))),1, IF(ISNUMBER(SEARCH("Blast",$L122)),(4+$F122+(2-$F122)*0.5)/6*2,(4+$F122)/6)) *
IF(ISNUMBER(SEARCH("Fusion",$L122)), _xlfn.IFS(AA$24-$I122 &lt;=1, 9/10, AA$24-$I122 &lt;=10,(11-(AA$24-$I122))/10, AA$24-$I122 &gt;=11, 0),
_xlfn.IFS(AA$24-$I122 &lt;=1, 5/6, AA$24-$I122 &lt;=5, (7-(AA$24-$I122))/6, AND(AA$24-$I122 =6,NOT(_xlfn.IFNA(ISNUMBER(SEARCH("Rending",$L122)),FALSE))), (7-(AA$24-$I122))/6, AND(AA$24-$I122 &gt;=7,NOT(_xlfn.IFNA(ISNUMBER(SEARCH("Rending",$L122)),FALSE))), 0, AA$24-$I122 =7, (7-(AA$24-1-$I122))/6, AA$24-$I122 =8, (7-(AA$24-2-$I122))/6*2/3, AA$24-$I122 =9, (7-(AA$24-3-$I122))/6*1/3, TRUE, 0)) *
IF(ISNUMBER(SEARCH("Ordinance",$L122)),7/6,1) *
IF(OR(ISNUMBER(SEARCH("Melee",$L122)),ISNUMBER(SEARCH("Bypass",$L122))),1.5,1)</f>
        <v>3.75</v>
      </c>
      <c r="AB122" s="17" cm="1">
        <f t="array" ref="AB122">$H122 *
IF(ISNUMBER(SEARCH("Rapid",$L122)),7/6,1) *
IF(OR(ISNUMBER(SEARCH("Beam",$L122)),ISNUMBER(SEARCH("Firestorm",$L122))),1, IF(ISNUMBER(SEARCH("Blast",$L122)),(4+$F122+(2-$F122)*0.5)/6*2,(4+$F122)/6)) *
IF(ISNUMBER(SEARCH("Fusion",$L122)), _xlfn.IFS(AB$24-$I122 &lt;=1, 9/10, AB$24-$I122 &lt;=10,(11-(AB$24-$I122))/10, AB$24-$I122 &gt;=11, 0),
_xlfn.IFS(AB$24-$I122 &lt;=1, 5/6, AB$24-$I122 &lt;=5, (7-(AB$24-$I122))/6, AND(AB$24-$I122 =6,NOT(_xlfn.IFNA(ISNUMBER(SEARCH("Rending",$L122)),FALSE))), (7-(AB$24-$I122))/6, AND(AB$24-$I122 &gt;=7,NOT(_xlfn.IFNA(ISNUMBER(SEARCH("Rending",$L122)),FALSE))), 0, AB$24-$I122 =7, (7-(AB$24-1-$I122))/6, AB$24-$I122 =8, (7-(AB$24-2-$I122))/6*2/3, AB$24-$I122 =9, (7-(AB$24-3-$I122))/6*1/3, TRUE, 0)) *
IF(ISNUMBER(SEARCH("Ordinance",$L122)),7/6,1) *
IF(OR(ISNUMBER(SEARCH("Melee",$L122)),ISNUMBER(SEARCH("Bypass",$L122))),1.5,1)</f>
        <v>3.75</v>
      </c>
      <c r="AC122" s="17" cm="1">
        <f t="array" ref="AC122">$H122 *
IF(ISNUMBER(SEARCH("Rapid",$L122)),7/6,1) *
IF(OR(ISNUMBER(SEARCH("Beam",$L122)),ISNUMBER(SEARCH("Firestorm",$L122))),1, IF(ISNUMBER(SEARCH("Blast",$L122)),(4+$F122+(2-$F122)*0.5)/6*2,(4+$F122)/6)) *
IF(ISNUMBER(SEARCH("Fusion",$L122)), _xlfn.IFS(AC$24-$I122 &lt;=1, 9/10, AC$24-$I122 &lt;=10,(11-(AC$24-$I122))/10, AC$24-$I122 &gt;=11, 0),
_xlfn.IFS(AC$24-$I122 &lt;=1, 5/6, AC$24-$I122 &lt;=5, (7-(AC$24-$I122))/6, AND(AC$24-$I122 =6,NOT(_xlfn.IFNA(ISNUMBER(SEARCH("Rending",$L122)),FALSE))), (7-(AC$24-$I122))/6, AND(AC$24-$I122 &gt;=7,NOT(_xlfn.IFNA(ISNUMBER(SEARCH("Rending",$L122)),FALSE))), 0, AC$24-$I122 =7, (7-(AC$24-1-$I122))/6, AC$24-$I122 =8, (7-(AC$24-2-$I122))/6*2/3, AC$24-$I122 =9, (7-(AC$24-3-$I122))/6*1/3, TRUE, 0)) *
IF(ISNUMBER(SEARCH("Ordinance",$L122)),7/6,1) *
IF(OR(ISNUMBER(SEARCH("Melee",$L122)),ISNUMBER(SEARCH("Bypass",$L122))),1.5,1)</f>
        <v>3.75</v>
      </c>
      <c r="AD122" s="17" cm="1">
        <f t="array" ref="AD122">$H122 *
IF(ISNUMBER(SEARCH("Rapid",$L122)),7/6,1) *
IF(OR(ISNUMBER(SEARCH("Beam",$L122)),ISNUMBER(SEARCH("Firestorm",$L122))),1, IF(ISNUMBER(SEARCH("Blast",$L122)),(4+$F122+(2-$F122)*0.5)/6*2,(4+$F122)/6)) *
IF(ISNUMBER(SEARCH("Fusion",$L122)), _xlfn.IFS(AD$24-$I122 &lt;=1, 9/10, AD$24-$I122 &lt;=10,(11-(AD$24-$I122))/10, AD$24-$I122 &gt;=11, 0),
_xlfn.IFS(AD$24-$I122 &lt;=1, 5/6, AD$24-$I122 &lt;=5, (7-(AD$24-$I122))/6, AND(AD$24-$I122 =6,NOT(_xlfn.IFNA(ISNUMBER(SEARCH("Rending",$L122)),FALSE))), (7-(AD$24-$I122))/6, AND(AD$24-$I122 &gt;=7,NOT(_xlfn.IFNA(ISNUMBER(SEARCH("Rending",$L122)),FALSE))), 0, AD$24-$I122 =7, (7-(AD$24-1-$I122))/6, AD$24-$I122 =8, (7-(AD$24-2-$I122))/6*2/3, AD$24-$I122 =9, (7-(AD$24-3-$I122))/6*1/3, TRUE, 0)) *
IF(ISNUMBER(SEARCH("Ordinance",$L122)),7/6,1) *
IF(OR(ISNUMBER(SEARCH("Melee",$L122)),ISNUMBER(SEARCH("Bypass",$L122))),1.5,1)</f>
        <v>3</v>
      </c>
      <c r="AE122" s="17" cm="1">
        <f t="array" ref="AE122">$H122 *
IF(ISNUMBER(SEARCH("Rapid",$L122)),7/6,1) *
IF(OR(ISNUMBER(SEARCH("Beam",$L122)),ISNUMBER(SEARCH("Firestorm",$L122))),1, IF(ISNUMBER(SEARCH("Blast",$L122)),(4+$F122+(2-$F122)*0.5)/6*2,(4+$F122)/6)) *
IF(ISNUMBER(SEARCH("Fusion",$L122)), _xlfn.IFS(AE$24-$I122 &lt;=1, 9/10, AE$24-$I122 &lt;=10,(11-(AE$24-$I122))/10, AE$24-$I122 &gt;=11, 0),
_xlfn.IFS(AE$24-$I122 &lt;=1, 5/6, AE$24-$I122 &lt;=5, (7-(AE$24-$I122))/6, AND(AE$24-$I122 =6,NOT(_xlfn.IFNA(ISNUMBER(SEARCH("Rending",$L122)),FALSE))), (7-(AE$24-$I122))/6, AND(AE$24-$I122 &gt;=7,NOT(_xlfn.IFNA(ISNUMBER(SEARCH("Rending",$L122)),FALSE))), 0, AE$24-$I122 =7, (7-(AE$24-1-$I122))/6, AE$24-$I122 =8, (7-(AE$24-2-$I122))/6*2/3, AE$24-$I122 =9, (7-(AE$24-3-$I122))/6*1/3, TRUE, 0)) *
IF(ISNUMBER(SEARCH("Ordinance",$L122)),7/6,1) *
IF(OR(ISNUMBER(SEARCH("Melee",$L122)),ISNUMBER(SEARCH("Bypass",$L122))),1.5,1)</f>
        <v>2.25</v>
      </c>
      <c r="AF122" s="17" cm="1">
        <f t="array" ref="AF122">$H122 *
IF(ISNUMBER(SEARCH("Rapid",$L122)),7/6,1) *
IF(OR(ISNUMBER(SEARCH("Beam",$L122)),ISNUMBER(SEARCH("Firestorm",$L122))),1, IF(ISNUMBER(SEARCH("Blast",$L122)),(4+$F122+(2-$F122)*0.5)/6*2,(4+$F122)/6)) *
IF(ISNUMBER(SEARCH("Fusion",$L122)), _xlfn.IFS(AF$24-$I122 &lt;=1, 9/10, AF$24-$I122 &lt;=10,(11-(AF$24-$I122))/10, AF$24-$I122 &gt;=11, 0),
_xlfn.IFS(AF$24-$I122 &lt;=1, 5/6, AF$24-$I122 &lt;=5, (7-(AF$24-$I122))/6, AND(AF$24-$I122 =6,NOT(_xlfn.IFNA(ISNUMBER(SEARCH("Rending",$L122)),FALSE))), (7-(AF$24-$I122))/6, AND(AF$24-$I122 &gt;=7,NOT(_xlfn.IFNA(ISNUMBER(SEARCH("Rending",$L122)),FALSE))), 0, AF$24-$I122 =7, (7-(AF$24-1-$I122))/6, AF$24-$I122 =8, (7-(AF$24-2-$I122))/6*2/3, AF$24-$I122 =9, (7-(AF$24-3-$I122))/6*1/3, TRUE, 0)) *
IF(ISNUMBER(SEARCH("Ordinance",$L122)),7/6,1) *
IF(OR(ISNUMBER(SEARCH("Melee",$L122)),ISNUMBER(SEARCH("Bypass",$L122))),1.5,1)</f>
        <v>1.5</v>
      </c>
      <c r="AG122" s="16">
        <f t="shared" si="22"/>
        <v>0</v>
      </c>
      <c r="AH122" s="16">
        <f t="shared" si="23"/>
        <v>0</v>
      </c>
      <c r="AI122" s="17" cm="1">
        <f t="array" ref="AI122">$H122 *
IF(ISNUMBER(SEARCH("Rapid",$L122)),7/6,1) *
IF(OR(ISNUMBER(SEARCH("Beam",$L122)),ISNUMBER(SEARCH("Firestorm",$L122))),1, IF(ISNUMBER(SEARCH("Blast",$L122)),(4+$G122+(2-$G122)*0.5)/6*2,(4+$G122)/6)) *
_xlfn.IFS(AI$24-$I122 &lt;=1, 5/6, AI$24-$I122 &lt;=5, (7-(AI$24-$I122))/6, AND(AI$24-$I122 =6,NOT(_xlfn.IFNA(ISNUMBER(SEARCH("Rending",$L122)),FALSE))), (7-(AI$24-$I122))/6, AND(AI$24-$I122 &gt;=7,NOT(_xlfn.IFNA(ISNUMBER(SEARCH("Rending",$L122)),FALSE))), 0, AI$24-$I122 =7, (7-(AI$24-1-$I122))/6, AI$24-$I122 =8, (7-(AI$24-2-$I122))/6*2/3, AI$24-$I122 =9, (7-(AI$24-3-$I122))/6*1/3, TRUE, 0) *
IF(ISNUMBER(SEARCH("Ordinance",$L122)),7/6,1) *
IF(OR(ISNUMBER(SEARCH("Melee",$L122)),ISNUMBER(SEARCH("Bypass",$L122))),1.5,1)</f>
        <v>2.5</v>
      </c>
      <c r="AJ122" s="17" cm="1">
        <f t="array" ref="AJ122">$H122 *
IF(ISNUMBER(SEARCH("Rapid",$L122)),7/6,1) *
IF(OR(ISNUMBER(SEARCH("Beam",$L122)),ISNUMBER(SEARCH("Firestorm",$L122))),1, IF(ISNUMBER(SEARCH("Blast",$L122)),(4+$G122+(2-$G122)*0.5)/6*2,(4+$G122)/6)) *
_xlfn.IFS(AJ$24-$I122 &lt;=1, 5/6, AJ$24-$I122 &lt;=5, (7-(AJ$24-$I122))/6, AND(AJ$24-$I122 =6,NOT(_xlfn.IFNA(ISNUMBER(SEARCH("Rending",$L122)),FALSE))), (7-(AJ$24-$I122))/6, AND(AJ$24-$I122 &gt;=7,NOT(_xlfn.IFNA(ISNUMBER(SEARCH("Rending",$L122)),FALSE))), 0, AJ$24-$I122 =7, (7-(AJ$24-1-$I122))/6, AJ$24-$I122 =8, (7-(AJ$24-2-$I122))/6*2/3, AJ$24-$I122 =9, (7-(AJ$24-3-$I122))/6*1/3, TRUE, 0) *
IF(ISNUMBER(SEARCH("Ordinance",$L122)),7/6,1) *
IF(OR(ISNUMBER(SEARCH("Melee",$L122)),ISNUMBER(SEARCH("Bypass",$L122))),1.5,1)</f>
        <v>2.5</v>
      </c>
      <c r="AK122" s="17" cm="1">
        <f t="array" ref="AK122">$H122 *
IF(ISNUMBER(SEARCH("Rapid",$L122)),7/6,1) *
IF(OR(ISNUMBER(SEARCH("Beam",$L122)),ISNUMBER(SEARCH("Firestorm",$L122))),1, IF(ISNUMBER(SEARCH("Blast",$L122)),(4+$G122+(2-$G122)*0.5)/6*2,(4+$G122)/6)) *
_xlfn.IFS(AK$24-$I122 &lt;=1, 5/6, AK$24-$I122 &lt;=5, (7-(AK$24-$I122))/6, AND(AK$24-$I122 =6,NOT(_xlfn.IFNA(ISNUMBER(SEARCH("Rending",$L122)),FALSE))), (7-(AK$24-$I122))/6, AND(AK$24-$I122 &gt;=7,NOT(_xlfn.IFNA(ISNUMBER(SEARCH("Rending",$L122)),FALSE))), 0, AK$24-$I122 =7, (7-(AK$24-1-$I122))/6, AK$24-$I122 =8, (7-(AK$24-2-$I122))/6*2/3, AK$24-$I122 =9, (7-(AK$24-3-$I122))/6*1/3, TRUE, 0) *
IF(ISNUMBER(SEARCH("Ordinance",$L122)),7/6,1) *
IF(OR(ISNUMBER(SEARCH("Melee",$L122)),ISNUMBER(SEARCH("Bypass",$L122))),1.5,1)</f>
        <v>2.5</v>
      </c>
      <c r="AL122" s="17" cm="1">
        <f t="array" ref="AL122">$H122 *
IF(ISNUMBER(SEARCH("Rapid",$L122)),7/6,1) *
IF(OR(ISNUMBER(SEARCH("Beam",$L122)),ISNUMBER(SEARCH("Firestorm",$L122))),1, IF(ISNUMBER(SEARCH("Blast",$L122)),(4+$G122+(2-$G122)*0.5)/6*2,(4+$G122)/6)) *
_xlfn.IFS(AL$24-$I122 &lt;=1, 5/6, AL$24-$I122 &lt;=5, (7-(AL$24-$I122))/6, AND(AL$24-$I122 =6,NOT(_xlfn.IFNA(ISNUMBER(SEARCH("Rending",$L122)),FALSE))), (7-(AL$24-$I122))/6, AND(AL$24-$I122 &gt;=7,NOT(_xlfn.IFNA(ISNUMBER(SEARCH("Rending",$L122)),FALSE))), 0, AL$24-$I122 =7, (7-(AL$24-1-$I122))/6, AL$24-$I122 =8, (7-(AL$24-2-$I122))/6*2/3, AL$24-$I122 =9, (7-(AL$24-3-$I122))/6*1/3, TRUE, 0) *
IF(ISNUMBER(SEARCH("Ordinance",$L122)),7/6,1) *
IF(OR(ISNUMBER(SEARCH("Melee",$L122)),ISNUMBER(SEARCH("Bypass",$L122))),1.5,1)</f>
        <v>2.5</v>
      </c>
      <c r="AM122" s="17" cm="1">
        <f t="array" ref="AM122">$H122 *
IF(ISNUMBER(SEARCH("Rapid",$L122)),7/6,1) *
IF(OR(ISNUMBER(SEARCH("Beam",$L122)),ISNUMBER(SEARCH("Firestorm",$L122))),1, IF(ISNUMBER(SEARCH("Blast",$L122)),(4+$G122+(2-$G122)*0.5)/6*2,(4+$G122)/6)) *
_xlfn.IFS(AM$24-$I122 &lt;=1, 5/6, AM$24-$I122 &lt;=5, (7-(AM$24-$I122))/6, AND(AM$24-$I122 =6,NOT(_xlfn.IFNA(ISNUMBER(SEARCH("Rending",$L122)),FALSE))), (7-(AM$24-$I122))/6, AND(AM$24-$I122 &gt;=7,NOT(_xlfn.IFNA(ISNUMBER(SEARCH("Rending",$L122)),FALSE))), 0, AM$24-$I122 =7, (7-(AM$24-1-$I122))/6, AM$24-$I122 =8, (7-(AM$24-2-$I122))/6*2/3, AM$24-$I122 =9, (7-(AM$24-3-$I122))/6*1/3, TRUE, 0) *
IF(ISNUMBER(SEARCH("Ordinance",$L122)),7/6,1) *
IF(OR(ISNUMBER(SEARCH("Melee",$L122)),ISNUMBER(SEARCH("Bypass",$L122))),1.5,1)</f>
        <v>2.5</v>
      </c>
      <c r="AN122" s="17" cm="1">
        <f t="array" ref="AN122">$H122 *
IF(ISNUMBER(SEARCH("Rapid",$L122)),7/6,1) *
IF(OR(ISNUMBER(SEARCH("Beam",$L122)),ISNUMBER(SEARCH("Firestorm",$L122))),1, IF(ISNUMBER(SEARCH("Blast",$L122)),(4+$G122+(2-$G122)*0.5)/6*2,(4+$G122)/6)) *
_xlfn.IFS(AN$24-$I122 &lt;=1, 5/6, AN$24-$I122 &lt;=5, (7-(AN$24-$I122))/6, AND(AN$24-$I122 =6,NOT(_xlfn.IFNA(ISNUMBER(SEARCH("Rending",$L122)),FALSE))), (7-(AN$24-$I122))/6, AND(AN$24-$I122 &gt;=7,NOT(_xlfn.IFNA(ISNUMBER(SEARCH("Rending",$L122)),FALSE))), 0, AN$24-$I122 =7, (7-(AN$24-1-$I122))/6, AN$24-$I122 =8, (7-(AN$24-2-$I122))/6*2/3, AN$24-$I122 =9, (7-(AN$24-3-$I122))/6*1/3, TRUE, 0) *
IF(ISNUMBER(SEARCH("Ordinance",$L122)),7/6,1) *
IF(OR(ISNUMBER(SEARCH("Melee",$L122)),ISNUMBER(SEARCH("Bypass",$L122))),1.5,1)</f>
        <v>2.5</v>
      </c>
      <c r="AO122" s="17" cm="1">
        <f t="array" ref="AO122">$H122 *
IF(ISNUMBER(SEARCH("Rapid",$L122)),7/6,1) *
IF(OR(ISNUMBER(SEARCH("Beam",$L122)),ISNUMBER(SEARCH("Firestorm",$L122))),1, IF(ISNUMBER(SEARCH("Blast",$L122)),(4+$G122+(2-$G122)*0.5)/6*2,(4+$G122)/6)) *
_xlfn.IFS(AO$24-$I122 &lt;=1, 5/6, AO$24-$I122 &lt;=5, (7-(AO$24-$I122))/6, AND(AO$24-$I122 =6,NOT(_xlfn.IFNA(ISNUMBER(SEARCH("Rending",$L122)),FALSE))), (7-(AO$24-$I122))/6, AND(AO$24-$I122 &gt;=7,NOT(_xlfn.IFNA(ISNUMBER(SEARCH("Rending",$L122)),FALSE))), 0, AO$24-$I122 =7, (7-(AO$24-1-$I122))/6, AO$24-$I122 =8, (7-(AO$24-2-$I122))/6*2/3, AO$24-$I122 =9, (7-(AO$24-3-$I122))/6*1/3, TRUE, 0) *
IF(ISNUMBER(SEARCH("Ordinance",$L122)),7/6,1) *
IF(OR(ISNUMBER(SEARCH("Melee",$L122)),ISNUMBER(SEARCH("Bypass",$L122))),1.5,1)</f>
        <v>2</v>
      </c>
      <c r="AP122" s="17" cm="1">
        <f t="array" ref="AP122">$H122 *
IF(ISNUMBER(SEARCH("Rapid",$L122)),7/6,1) *
IF(OR(ISNUMBER(SEARCH("Beam",$L122)),ISNUMBER(SEARCH("Firestorm",$L122))),1, IF(ISNUMBER(SEARCH("Blast",$L122)),(4+$G122+(2-$G122)*0.5)/6*2,(4+$G122)/6)) *
_xlfn.IFS(AP$24-$I122 &lt;=1, 5/6, AP$24-$I122 &lt;=5, (7-(AP$24-$I122))/6, AND(AP$24-$I122 =6,NOT(_xlfn.IFNA(ISNUMBER(SEARCH("Rending",$L122)),FALSE))), (7-(AP$24-$I122))/6, AND(AP$24-$I122 &gt;=7,NOT(_xlfn.IFNA(ISNUMBER(SEARCH("Rending",$L122)),FALSE))), 0, AP$24-$I122 =7, (7-(AP$24-1-$I122))/6, AP$24-$I122 =8, (7-(AP$24-2-$I122))/6*2/3, AP$24-$I122 =9, (7-(AP$24-3-$I122))/6*1/3, TRUE, 0) *
IF(ISNUMBER(SEARCH("Ordinance",$L122)),7/6,1) *
IF(OR(ISNUMBER(SEARCH("Melee",$L122)),ISNUMBER(SEARCH("Bypass",$L122))),1.5,1)</f>
        <v>1.5</v>
      </c>
      <c r="AQ122" s="17" cm="1">
        <f t="array" ref="AQ122">$H122 *
IF(ISNUMBER(SEARCH("Rapid",$L122)),7/6,1) *
IF(OR(ISNUMBER(SEARCH("Beam",$L122)),ISNUMBER(SEARCH("Firestorm",$L122))),1, IF(ISNUMBER(SEARCH("Blast",$L122)),(4+$G122+(2-$G122)*0.5)/6*2,(4+$G122)/6)) *
_xlfn.IFS(AQ$24-$I122 &lt;=1, 5/6, AQ$24-$I122 &lt;=5, (7-(AQ$24-$I122))/6, AND(AQ$24-$I122 =6,NOT(_xlfn.IFNA(ISNUMBER(SEARCH("Rending",$L122)),FALSE))), (7-(AQ$24-$I122))/6, AND(AQ$24-$I122 &gt;=7,NOT(_xlfn.IFNA(ISNUMBER(SEARCH("Rending",$L122)),FALSE))), 0, AQ$24-$I122 =7, (7-(AQ$24-1-$I122))/6, AQ$24-$I122 =8, (7-(AQ$24-2-$I122))/6*2/3, AQ$24-$I122 =9, (7-(AQ$24-3-$I122))/6*1/3, TRUE, 0) *
IF(ISNUMBER(SEARCH("Ordinance",$L122)),7/6,1) *
IF(OR(ISNUMBER(SEARCH("Melee",$L122)),ISNUMBER(SEARCH("Bypass",$L122))),1.5,1)</f>
        <v>1</v>
      </c>
      <c r="AS122" s="16">
        <f>IF($E122=1,AG122*3,IF($E122=2,2*AG122,1.1*AG122))/3</f>
        <v>0</v>
      </c>
      <c r="AT122" s="16">
        <f>IF($E122=1,AH122*3,IF($E122=2,2*AH122,1.1*AH122))/3</f>
        <v>0</v>
      </c>
      <c r="AU122" s="16">
        <f>IF(D122+E122=3,
 IF(E122=3, 2.5*AI122,
  IF(E122=2, 1.8*AI122+0.7*X122,
   IF(E122=1, 0.95*AI122+1.55*X122,
    2.5*X122))),
 IF(D122+E122=2,
  IF(E122=2, 1.55*AI122,
   IF(E122 =1, 0.85*AI122+0.7*X122,
    1.55*X122)),
  IF(E122=1, 0.95*AI122,
   0.7*X122))
)/3</f>
        <v>0.875</v>
      </c>
      <c r="AV122" s="2">
        <v>14</v>
      </c>
    </row>
    <row r="123" spans="1:48" x14ac:dyDescent="0.3">
      <c r="A123" t="s">
        <v>308</v>
      </c>
      <c r="F123" s="10"/>
      <c r="G123" s="10"/>
      <c r="V123" s="16">
        <f t="shared" si="20"/>
        <v>0</v>
      </c>
      <c r="W123" s="16">
        <f t="shared" si="21"/>
        <v>0</v>
      </c>
      <c r="X123" s="17" cm="1">
        <f t="array" ref="X123">$H123 *
IF(ISNUMBER(SEARCH("Rapid",$L123)),7/6,1) *
IF(OR(ISNUMBER(SEARCH("Beam",$L123)),ISNUMBER(SEARCH("Firestorm",$L123))),1, IF(ISNUMBER(SEARCH("Blast",$L123)),(4+$F123+(2-$F123)*0.5)/6*2,(4+$F123)/6)) *
IF(ISNUMBER(SEARCH("Fusion",$L123)), _xlfn.IFS(X$24-$I123 &lt;=1, 9/10, X$24-$I123 &lt;=10,(11-(X$24-$I123))/10, X$24-$I123 &gt;=11, 0),
_xlfn.IFS(X$24-$I123 &lt;=1, 5/6, X$24-$I123 &lt;=5, (7-(X$24-$I123))/6, AND(X$24-$I123 =6,NOT(_xlfn.IFNA(ISNUMBER(SEARCH("Rending",$L123)),FALSE))), (7-(X$24-$I123))/6, AND(X$24-$I123 &gt;=7,NOT(_xlfn.IFNA(ISNUMBER(SEARCH("Rending",$L123)),FALSE))), 0, X$24-$I123 =7, (7-(X$24-1-$I123))/6, X$24-$I123 =8, (7-(X$24-2-$I123))/6*2/3, X$24-$I123 =9, (7-(X$24-3-$I123))/6*1/3, TRUE, 0)) *
IF(ISNUMBER(SEARCH("Ordinance",$L123)),7/6,1) *
IF(OR(ISNUMBER(SEARCH("Melee",$L123)),ISNUMBER(SEARCH("Bypass",$L123))),1.5,1)</f>
        <v>0</v>
      </c>
      <c r="Y123" s="17" cm="1">
        <f t="array" ref="Y123">$H123 *
IF(ISNUMBER(SEARCH("Rapid",$L123)),7/6,1) *
IF(OR(ISNUMBER(SEARCH("Beam",$L123)),ISNUMBER(SEARCH("Firestorm",$L123))),1, IF(ISNUMBER(SEARCH("Blast",$L123)),(4+$F123+(2-$F123)*0.5)/6*2,(4+$F123)/6)) *
IF(ISNUMBER(SEARCH("Fusion",$L123)), _xlfn.IFS(Y$24-$I123 &lt;=1, 9/10, Y$24-$I123 &lt;=10,(11-(Y$24-$I123))/10, Y$24-$I123 &gt;=11, 0),
_xlfn.IFS(Y$24-$I123 &lt;=1, 5/6, Y$24-$I123 &lt;=5, (7-(Y$24-$I123))/6, AND(Y$24-$I123 =6,NOT(_xlfn.IFNA(ISNUMBER(SEARCH("Rending",$L123)),FALSE))), (7-(Y$24-$I123))/6, AND(Y$24-$I123 &gt;=7,NOT(_xlfn.IFNA(ISNUMBER(SEARCH("Rending",$L123)),FALSE))), 0, Y$24-$I123 =7, (7-(Y$24-1-$I123))/6, Y$24-$I123 =8, (7-(Y$24-2-$I123))/6*2/3, Y$24-$I123 =9, (7-(Y$24-3-$I123))/6*1/3, TRUE, 0)) *
IF(ISNUMBER(SEARCH("Ordinance",$L123)),7/6,1) *
IF(OR(ISNUMBER(SEARCH("Melee",$L123)),ISNUMBER(SEARCH("Bypass",$L123))),1.5,1)</f>
        <v>0</v>
      </c>
      <c r="Z123" s="17" cm="1">
        <f t="array" ref="Z123">$H123 *
IF(ISNUMBER(SEARCH("Rapid",$L123)),7/6,1) *
IF(OR(ISNUMBER(SEARCH("Beam",$L123)),ISNUMBER(SEARCH("Firestorm",$L123))),1, IF(ISNUMBER(SEARCH("Blast",$L123)),(4+$F123+(2-$F123)*0.5)/6*2,(4+$F123)/6)) *
IF(ISNUMBER(SEARCH("Fusion",$L123)), _xlfn.IFS(Z$24-$I123 &lt;=1, 9/10, Z$24-$I123 &lt;=10,(11-(Z$24-$I123))/10, Z$24-$I123 &gt;=11, 0),
_xlfn.IFS(Z$24-$I123 &lt;=1, 5/6, Z$24-$I123 &lt;=5, (7-(Z$24-$I123))/6, AND(Z$24-$I123 =6,NOT(_xlfn.IFNA(ISNUMBER(SEARCH("Rending",$L123)),FALSE))), (7-(Z$24-$I123))/6, AND(Z$24-$I123 &gt;=7,NOT(_xlfn.IFNA(ISNUMBER(SEARCH("Rending",$L123)),FALSE))), 0, Z$24-$I123 =7, (7-(Z$24-1-$I123))/6, Z$24-$I123 =8, (7-(Z$24-2-$I123))/6*2/3, Z$24-$I123 =9, (7-(Z$24-3-$I123))/6*1/3, TRUE, 0)) *
IF(ISNUMBER(SEARCH("Ordinance",$L123)),7/6,1) *
IF(OR(ISNUMBER(SEARCH("Melee",$L123)),ISNUMBER(SEARCH("Bypass",$L123))),1.5,1)</f>
        <v>0</v>
      </c>
      <c r="AA123" s="17" cm="1">
        <f t="array" ref="AA123">$H123 *
IF(ISNUMBER(SEARCH("Rapid",$L123)),7/6,1) *
IF(OR(ISNUMBER(SEARCH("Beam",$L123)),ISNUMBER(SEARCH("Firestorm",$L123))),1, IF(ISNUMBER(SEARCH("Blast",$L123)),(4+$F123+(2-$F123)*0.5)/6*2,(4+$F123)/6)) *
IF(ISNUMBER(SEARCH("Fusion",$L123)), _xlfn.IFS(AA$24-$I123 &lt;=1, 9/10, AA$24-$I123 &lt;=10,(11-(AA$24-$I123))/10, AA$24-$I123 &gt;=11, 0),
_xlfn.IFS(AA$24-$I123 &lt;=1, 5/6, AA$24-$I123 &lt;=5, (7-(AA$24-$I123))/6, AND(AA$24-$I123 =6,NOT(_xlfn.IFNA(ISNUMBER(SEARCH("Rending",$L123)),FALSE))), (7-(AA$24-$I123))/6, AND(AA$24-$I123 &gt;=7,NOT(_xlfn.IFNA(ISNUMBER(SEARCH("Rending",$L123)),FALSE))), 0, AA$24-$I123 =7, (7-(AA$24-1-$I123))/6, AA$24-$I123 =8, (7-(AA$24-2-$I123))/6*2/3, AA$24-$I123 =9, (7-(AA$24-3-$I123))/6*1/3, TRUE, 0)) *
IF(ISNUMBER(SEARCH("Ordinance",$L123)),7/6,1) *
IF(OR(ISNUMBER(SEARCH("Melee",$L123)),ISNUMBER(SEARCH("Bypass",$L123))),1.5,1)</f>
        <v>0</v>
      </c>
      <c r="AB123" s="17" cm="1">
        <f t="array" ref="AB123">$H123 *
IF(ISNUMBER(SEARCH("Rapid",$L123)),7/6,1) *
IF(OR(ISNUMBER(SEARCH("Beam",$L123)),ISNUMBER(SEARCH("Firestorm",$L123))),1, IF(ISNUMBER(SEARCH("Blast",$L123)),(4+$F123+(2-$F123)*0.5)/6*2,(4+$F123)/6)) *
IF(ISNUMBER(SEARCH("Fusion",$L123)), _xlfn.IFS(AB$24-$I123 &lt;=1, 9/10, AB$24-$I123 &lt;=10,(11-(AB$24-$I123))/10, AB$24-$I123 &gt;=11, 0),
_xlfn.IFS(AB$24-$I123 &lt;=1, 5/6, AB$24-$I123 &lt;=5, (7-(AB$24-$I123))/6, AND(AB$24-$I123 =6,NOT(_xlfn.IFNA(ISNUMBER(SEARCH("Rending",$L123)),FALSE))), (7-(AB$24-$I123))/6, AND(AB$24-$I123 &gt;=7,NOT(_xlfn.IFNA(ISNUMBER(SEARCH("Rending",$L123)),FALSE))), 0, AB$24-$I123 =7, (7-(AB$24-1-$I123))/6, AB$24-$I123 =8, (7-(AB$24-2-$I123))/6*2/3, AB$24-$I123 =9, (7-(AB$24-3-$I123))/6*1/3, TRUE, 0)) *
IF(ISNUMBER(SEARCH("Ordinance",$L123)),7/6,1) *
IF(OR(ISNUMBER(SEARCH("Melee",$L123)),ISNUMBER(SEARCH("Bypass",$L123))),1.5,1)</f>
        <v>0</v>
      </c>
      <c r="AC123" s="17" cm="1">
        <f t="array" ref="AC123">$H123 *
IF(ISNUMBER(SEARCH("Rapid",$L123)),7/6,1) *
IF(OR(ISNUMBER(SEARCH("Beam",$L123)),ISNUMBER(SEARCH("Firestorm",$L123))),1, IF(ISNUMBER(SEARCH("Blast",$L123)),(4+$F123+(2-$F123)*0.5)/6*2,(4+$F123)/6)) *
IF(ISNUMBER(SEARCH("Fusion",$L123)), _xlfn.IFS(AC$24-$I123 &lt;=1, 9/10, AC$24-$I123 &lt;=10,(11-(AC$24-$I123))/10, AC$24-$I123 &gt;=11, 0),
_xlfn.IFS(AC$24-$I123 &lt;=1, 5/6, AC$24-$I123 &lt;=5, (7-(AC$24-$I123))/6, AND(AC$24-$I123 =6,NOT(_xlfn.IFNA(ISNUMBER(SEARCH("Rending",$L123)),FALSE))), (7-(AC$24-$I123))/6, AND(AC$24-$I123 &gt;=7,NOT(_xlfn.IFNA(ISNUMBER(SEARCH("Rending",$L123)),FALSE))), 0, AC$24-$I123 =7, (7-(AC$24-1-$I123))/6, AC$24-$I123 =8, (7-(AC$24-2-$I123))/6*2/3, AC$24-$I123 =9, (7-(AC$24-3-$I123))/6*1/3, TRUE, 0)) *
IF(ISNUMBER(SEARCH("Ordinance",$L123)),7/6,1) *
IF(OR(ISNUMBER(SEARCH("Melee",$L123)),ISNUMBER(SEARCH("Bypass",$L123))),1.5,1)</f>
        <v>0</v>
      </c>
      <c r="AD123" s="17" cm="1">
        <f t="array" ref="AD123">$H123 *
IF(ISNUMBER(SEARCH("Rapid",$L123)),7/6,1) *
IF(OR(ISNUMBER(SEARCH("Beam",$L123)),ISNUMBER(SEARCH("Firestorm",$L123))),1, IF(ISNUMBER(SEARCH("Blast",$L123)),(4+$F123+(2-$F123)*0.5)/6*2,(4+$F123)/6)) *
IF(ISNUMBER(SEARCH("Fusion",$L123)), _xlfn.IFS(AD$24-$I123 &lt;=1, 9/10, AD$24-$I123 &lt;=10,(11-(AD$24-$I123))/10, AD$24-$I123 &gt;=11, 0),
_xlfn.IFS(AD$24-$I123 &lt;=1, 5/6, AD$24-$I123 &lt;=5, (7-(AD$24-$I123))/6, AND(AD$24-$I123 =6,NOT(_xlfn.IFNA(ISNUMBER(SEARCH("Rending",$L123)),FALSE))), (7-(AD$24-$I123))/6, AND(AD$24-$I123 &gt;=7,NOT(_xlfn.IFNA(ISNUMBER(SEARCH("Rending",$L123)),FALSE))), 0, AD$24-$I123 =7, (7-(AD$24-1-$I123))/6, AD$24-$I123 =8, (7-(AD$24-2-$I123))/6*2/3, AD$24-$I123 =9, (7-(AD$24-3-$I123))/6*1/3, TRUE, 0)) *
IF(ISNUMBER(SEARCH("Ordinance",$L123)),7/6,1) *
IF(OR(ISNUMBER(SEARCH("Melee",$L123)),ISNUMBER(SEARCH("Bypass",$L123))),1.5,1)</f>
        <v>0</v>
      </c>
      <c r="AE123" s="17" cm="1">
        <f t="array" ref="AE123">$H123 *
IF(ISNUMBER(SEARCH("Rapid",$L123)),7/6,1) *
IF(OR(ISNUMBER(SEARCH("Beam",$L123)),ISNUMBER(SEARCH("Firestorm",$L123))),1, IF(ISNUMBER(SEARCH("Blast",$L123)),(4+$F123+(2-$F123)*0.5)/6*2,(4+$F123)/6)) *
IF(ISNUMBER(SEARCH("Fusion",$L123)), _xlfn.IFS(AE$24-$I123 &lt;=1, 9/10, AE$24-$I123 &lt;=10,(11-(AE$24-$I123))/10, AE$24-$I123 &gt;=11, 0),
_xlfn.IFS(AE$24-$I123 &lt;=1, 5/6, AE$24-$I123 &lt;=5, (7-(AE$24-$I123))/6, AND(AE$24-$I123 =6,NOT(_xlfn.IFNA(ISNUMBER(SEARCH("Rending",$L123)),FALSE))), (7-(AE$24-$I123))/6, AND(AE$24-$I123 &gt;=7,NOT(_xlfn.IFNA(ISNUMBER(SEARCH("Rending",$L123)),FALSE))), 0, AE$24-$I123 =7, (7-(AE$24-1-$I123))/6, AE$24-$I123 =8, (7-(AE$24-2-$I123))/6*2/3, AE$24-$I123 =9, (7-(AE$24-3-$I123))/6*1/3, TRUE, 0)) *
IF(ISNUMBER(SEARCH("Ordinance",$L123)),7/6,1) *
IF(OR(ISNUMBER(SEARCH("Melee",$L123)),ISNUMBER(SEARCH("Bypass",$L123))),1.5,1)</f>
        <v>0</v>
      </c>
      <c r="AF123" s="17" cm="1">
        <f t="array" ref="AF123">$H123 *
IF(ISNUMBER(SEARCH("Rapid",$L123)),7/6,1) *
IF(OR(ISNUMBER(SEARCH("Beam",$L123)),ISNUMBER(SEARCH("Firestorm",$L123))),1, IF(ISNUMBER(SEARCH("Blast",$L123)),(4+$F123+(2-$F123)*0.5)/6*2,(4+$F123)/6)) *
IF(ISNUMBER(SEARCH("Fusion",$L123)), _xlfn.IFS(AF$24-$I123 &lt;=1, 9/10, AF$24-$I123 &lt;=10,(11-(AF$24-$I123))/10, AF$24-$I123 &gt;=11, 0),
_xlfn.IFS(AF$24-$I123 &lt;=1, 5/6, AF$24-$I123 &lt;=5, (7-(AF$24-$I123))/6, AND(AF$24-$I123 =6,NOT(_xlfn.IFNA(ISNUMBER(SEARCH("Rending",$L123)),FALSE))), (7-(AF$24-$I123))/6, AND(AF$24-$I123 &gt;=7,NOT(_xlfn.IFNA(ISNUMBER(SEARCH("Rending",$L123)),FALSE))), 0, AF$24-$I123 =7, (7-(AF$24-1-$I123))/6, AF$24-$I123 =8, (7-(AF$24-2-$I123))/6*2/3, AF$24-$I123 =9, (7-(AF$24-3-$I123))/6*1/3, TRUE, 0)) *
IF(ISNUMBER(SEARCH("Ordinance",$L123)),7/6,1) *
IF(OR(ISNUMBER(SEARCH("Melee",$L123)),ISNUMBER(SEARCH("Bypass",$L123))),1.5,1)</f>
        <v>0</v>
      </c>
      <c r="AG123" s="16">
        <f t="shared" si="22"/>
        <v>0</v>
      </c>
      <c r="AH123" s="16">
        <f t="shared" si="23"/>
        <v>0</v>
      </c>
      <c r="AI123" s="17" cm="1">
        <f t="array" ref="AI123">$H123 *
IF(ISNUMBER(SEARCH("Rapid",$L123)),7/6,1) *
IF(OR(ISNUMBER(SEARCH("Beam",$L123)),ISNUMBER(SEARCH("Firestorm",$L123))),1, IF(ISNUMBER(SEARCH("Blast",$L123)),(4+$G123+(2-$G123)*0.5)/6*2,(4+$G123)/6)) *
_xlfn.IFS(AI$24-$I123 &lt;=1, 5/6, AI$24-$I123 &lt;=5, (7-(AI$24-$I123))/6, AND(AI$24-$I123 =6,NOT(_xlfn.IFNA(ISNUMBER(SEARCH("Rending",$L123)),FALSE))), (7-(AI$24-$I123))/6, AND(AI$24-$I123 &gt;=7,NOT(_xlfn.IFNA(ISNUMBER(SEARCH("Rending",$L123)),FALSE))), 0, AI$24-$I123 =7, (7-(AI$24-1-$I123))/6, AI$24-$I123 =8, (7-(AI$24-2-$I123))/6*2/3, AI$24-$I123 =9, (7-(AI$24-3-$I123))/6*1/3, TRUE, 0) *
IF(ISNUMBER(SEARCH("Ordinance",$L123)),7/6,1) *
IF(OR(ISNUMBER(SEARCH("Melee",$L123)),ISNUMBER(SEARCH("Bypass",$L123))),1.5,1)</f>
        <v>0</v>
      </c>
      <c r="AJ123" s="17" cm="1">
        <f t="array" ref="AJ123">$H123 *
IF(ISNUMBER(SEARCH("Rapid",$L123)),7/6,1) *
IF(OR(ISNUMBER(SEARCH("Beam",$L123)),ISNUMBER(SEARCH("Firestorm",$L123))),1, IF(ISNUMBER(SEARCH("Blast",$L123)),(4+$G123+(2-$G123)*0.5)/6*2,(4+$G123)/6)) *
_xlfn.IFS(AJ$24-$I123 &lt;=1, 5/6, AJ$24-$I123 &lt;=5, (7-(AJ$24-$I123))/6, AND(AJ$24-$I123 =6,NOT(_xlfn.IFNA(ISNUMBER(SEARCH("Rending",$L123)),FALSE))), (7-(AJ$24-$I123))/6, AND(AJ$24-$I123 &gt;=7,NOT(_xlfn.IFNA(ISNUMBER(SEARCH("Rending",$L123)),FALSE))), 0, AJ$24-$I123 =7, (7-(AJ$24-1-$I123))/6, AJ$24-$I123 =8, (7-(AJ$24-2-$I123))/6*2/3, AJ$24-$I123 =9, (7-(AJ$24-3-$I123))/6*1/3, TRUE, 0) *
IF(ISNUMBER(SEARCH("Ordinance",$L123)),7/6,1) *
IF(OR(ISNUMBER(SEARCH("Melee",$L123)),ISNUMBER(SEARCH("Bypass",$L123))),1.5,1)</f>
        <v>0</v>
      </c>
      <c r="AK123" s="17" cm="1">
        <f t="array" ref="AK123">$H123 *
IF(ISNUMBER(SEARCH("Rapid",$L123)),7/6,1) *
IF(OR(ISNUMBER(SEARCH("Beam",$L123)),ISNUMBER(SEARCH("Firestorm",$L123))),1, IF(ISNUMBER(SEARCH("Blast",$L123)),(4+$G123+(2-$G123)*0.5)/6*2,(4+$G123)/6)) *
_xlfn.IFS(AK$24-$I123 &lt;=1, 5/6, AK$24-$I123 &lt;=5, (7-(AK$24-$I123))/6, AND(AK$24-$I123 =6,NOT(_xlfn.IFNA(ISNUMBER(SEARCH("Rending",$L123)),FALSE))), (7-(AK$24-$I123))/6, AND(AK$24-$I123 &gt;=7,NOT(_xlfn.IFNA(ISNUMBER(SEARCH("Rending",$L123)),FALSE))), 0, AK$24-$I123 =7, (7-(AK$24-1-$I123))/6, AK$24-$I123 =8, (7-(AK$24-2-$I123))/6*2/3, AK$24-$I123 =9, (7-(AK$24-3-$I123))/6*1/3, TRUE, 0) *
IF(ISNUMBER(SEARCH("Ordinance",$L123)),7/6,1) *
IF(OR(ISNUMBER(SEARCH("Melee",$L123)),ISNUMBER(SEARCH("Bypass",$L123))),1.5,1)</f>
        <v>0</v>
      </c>
      <c r="AL123" s="17" cm="1">
        <f t="array" ref="AL123">$H123 *
IF(ISNUMBER(SEARCH("Rapid",$L123)),7/6,1) *
IF(OR(ISNUMBER(SEARCH("Beam",$L123)),ISNUMBER(SEARCH("Firestorm",$L123))),1, IF(ISNUMBER(SEARCH("Blast",$L123)),(4+$G123+(2-$G123)*0.5)/6*2,(4+$G123)/6)) *
_xlfn.IFS(AL$24-$I123 &lt;=1, 5/6, AL$24-$I123 &lt;=5, (7-(AL$24-$I123))/6, AND(AL$24-$I123 =6,NOT(_xlfn.IFNA(ISNUMBER(SEARCH("Rending",$L123)),FALSE))), (7-(AL$24-$I123))/6, AND(AL$24-$I123 &gt;=7,NOT(_xlfn.IFNA(ISNUMBER(SEARCH("Rending",$L123)),FALSE))), 0, AL$24-$I123 =7, (7-(AL$24-1-$I123))/6, AL$24-$I123 =8, (7-(AL$24-2-$I123))/6*2/3, AL$24-$I123 =9, (7-(AL$24-3-$I123))/6*1/3, TRUE, 0) *
IF(ISNUMBER(SEARCH("Ordinance",$L123)),7/6,1) *
IF(OR(ISNUMBER(SEARCH("Melee",$L123)),ISNUMBER(SEARCH("Bypass",$L123))),1.5,1)</f>
        <v>0</v>
      </c>
      <c r="AM123" s="17" cm="1">
        <f t="array" ref="AM123">$H123 *
IF(ISNUMBER(SEARCH("Rapid",$L123)),7/6,1) *
IF(OR(ISNUMBER(SEARCH("Beam",$L123)),ISNUMBER(SEARCH("Firestorm",$L123))),1, IF(ISNUMBER(SEARCH("Blast",$L123)),(4+$G123+(2-$G123)*0.5)/6*2,(4+$G123)/6)) *
_xlfn.IFS(AM$24-$I123 &lt;=1, 5/6, AM$24-$I123 &lt;=5, (7-(AM$24-$I123))/6, AND(AM$24-$I123 =6,NOT(_xlfn.IFNA(ISNUMBER(SEARCH("Rending",$L123)),FALSE))), (7-(AM$24-$I123))/6, AND(AM$24-$I123 &gt;=7,NOT(_xlfn.IFNA(ISNUMBER(SEARCH("Rending",$L123)),FALSE))), 0, AM$24-$I123 =7, (7-(AM$24-1-$I123))/6, AM$24-$I123 =8, (7-(AM$24-2-$I123))/6*2/3, AM$24-$I123 =9, (7-(AM$24-3-$I123))/6*1/3, TRUE, 0) *
IF(ISNUMBER(SEARCH("Ordinance",$L123)),7/6,1) *
IF(OR(ISNUMBER(SEARCH("Melee",$L123)),ISNUMBER(SEARCH("Bypass",$L123))),1.5,1)</f>
        <v>0</v>
      </c>
      <c r="AN123" s="17" cm="1">
        <f t="array" ref="AN123">$H123 *
IF(ISNUMBER(SEARCH("Rapid",$L123)),7/6,1) *
IF(OR(ISNUMBER(SEARCH("Beam",$L123)),ISNUMBER(SEARCH("Firestorm",$L123))),1, IF(ISNUMBER(SEARCH("Blast",$L123)),(4+$G123+(2-$G123)*0.5)/6*2,(4+$G123)/6)) *
_xlfn.IFS(AN$24-$I123 &lt;=1, 5/6, AN$24-$I123 &lt;=5, (7-(AN$24-$I123))/6, AND(AN$24-$I123 =6,NOT(_xlfn.IFNA(ISNUMBER(SEARCH("Rending",$L123)),FALSE))), (7-(AN$24-$I123))/6, AND(AN$24-$I123 &gt;=7,NOT(_xlfn.IFNA(ISNUMBER(SEARCH("Rending",$L123)),FALSE))), 0, AN$24-$I123 =7, (7-(AN$24-1-$I123))/6, AN$24-$I123 =8, (7-(AN$24-2-$I123))/6*2/3, AN$24-$I123 =9, (7-(AN$24-3-$I123))/6*1/3, TRUE, 0) *
IF(ISNUMBER(SEARCH("Ordinance",$L123)),7/6,1) *
IF(OR(ISNUMBER(SEARCH("Melee",$L123)),ISNUMBER(SEARCH("Bypass",$L123))),1.5,1)</f>
        <v>0</v>
      </c>
      <c r="AO123" s="17" cm="1">
        <f t="array" ref="AO123">$H123 *
IF(ISNUMBER(SEARCH("Rapid",$L123)),7/6,1) *
IF(OR(ISNUMBER(SEARCH("Beam",$L123)),ISNUMBER(SEARCH("Firestorm",$L123))),1, IF(ISNUMBER(SEARCH("Blast",$L123)),(4+$G123+(2-$G123)*0.5)/6*2,(4+$G123)/6)) *
_xlfn.IFS(AO$24-$I123 &lt;=1, 5/6, AO$24-$I123 &lt;=5, (7-(AO$24-$I123))/6, AND(AO$24-$I123 =6,NOT(_xlfn.IFNA(ISNUMBER(SEARCH("Rending",$L123)),FALSE))), (7-(AO$24-$I123))/6, AND(AO$24-$I123 &gt;=7,NOT(_xlfn.IFNA(ISNUMBER(SEARCH("Rending",$L123)),FALSE))), 0, AO$24-$I123 =7, (7-(AO$24-1-$I123))/6, AO$24-$I123 =8, (7-(AO$24-2-$I123))/6*2/3, AO$24-$I123 =9, (7-(AO$24-3-$I123))/6*1/3, TRUE, 0) *
IF(ISNUMBER(SEARCH("Ordinance",$L123)),7/6,1) *
IF(OR(ISNUMBER(SEARCH("Melee",$L123)),ISNUMBER(SEARCH("Bypass",$L123))),1.5,1)</f>
        <v>0</v>
      </c>
      <c r="AP123" s="17" cm="1">
        <f t="array" ref="AP123">$H123 *
IF(ISNUMBER(SEARCH("Rapid",$L123)),7/6,1) *
IF(OR(ISNUMBER(SEARCH("Beam",$L123)),ISNUMBER(SEARCH("Firestorm",$L123))),1, IF(ISNUMBER(SEARCH("Blast",$L123)),(4+$G123+(2-$G123)*0.5)/6*2,(4+$G123)/6)) *
_xlfn.IFS(AP$24-$I123 &lt;=1, 5/6, AP$24-$I123 &lt;=5, (7-(AP$24-$I123))/6, AND(AP$24-$I123 =6,NOT(_xlfn.IFNA(ISNUMBER(SEARCH("Rending",$L123)),FALSE))), (7-(AP$24-$I123))/6, AND(AP$24-$I123 &gt;=7,NOT(_xlfn.IFNA(ISNUMBER(SEARCH("Rending",$L123)),FALSE))), 0, AP$24-$I123 =7, (7-(AP$24-1-$I123))/6, AP$24-$I123 =8, (7-(AP$24-2-$I123))/6*2/3, AP$24-$I123 =9, (7-(AP$24-3-$I123))/6*1/3, TRUE, 0) *
IF(ISNUMBER(SEARCH("Ordinance",$L123)),7/6,1) *
IF(OR(ISNUMBER(SEARCH("Melee",$L123)),ISNUMBER(SEARCH("Bypass",$L123))),1.5,1)</f>
        <v>0</v>
      </c>
      <c r="AQ123" s="17" cm="1">
        <f t="array" ref="AQ123">$H123 *
IF(ISNUMBER(SEARCH("Rapid",$L123)),7/6,1) *
IF(OR(ISNUMBER(SEARCH("Beam",$L123)),ISNUMBER(SEARCH("Firestorm",$L123))),1, IF(ISNUMBER(SEARCH("Blast",$L123)),(4+$G123+(2-$G123)*0.5)/6*2,(4+$G123)/6)) *
_xlfn.IFS(AQ$24-$I123 &lt;=1, 5/6, AQ$24-$I123 &lt;=5, (7-(AQ$24-$I123))/6, AND(AQ$24-$I123 =6,NOT(_xlfn.IFNA(ISNUMBER(SEARCH("Rending",$L123)),FALSE))), (7-(AQ$24-$I123))/6, AND(AQ$24-$I123 &gt;=7,NOT(_xlfn.IFNA(ISNUMBER(SEARCH("Rending",$L123)),FALSE))), 0, AQ$24-$I123 =7, (7-(AQ$24-1-$I123))/6, AQ$24-$I123 =8, (7-(AQ$24-2-$I123))/6*2/3, AQ$24-$I123 =9, (7-(AQ$24-3-$I123))/6*1/3, TRUE, 0) *
IF(ISNUMBER(SEARCH("Ordinance",$L123)),7/6,1) *
IF(OR(ISNUMBER(SEARCH("Melee",$L123)),ISNUMBER(SEARCH("Bypass",$L123))),1.5,1)</f>
        <v>0</v>
      </c>
    </row>
    <row r="124" spans="1:48" x14ac:dyDescent="0.3">
      <c r="F124" s="10"/>
      <c r="G124" s="10"/>
      <c r="V124" s="16">
        <f t="shared" si="20"/>
        <v>0</v>
      </c>
      <c r="W124" s="16">
        <f t="shared" si="21"/>
        <v>0</v>
      </c>
      <c r="X124" s="17" cm="1">
        <f t="array" ref="X124">$H124 *
IF(ISNUMBER(SEARCH("Rapid",$L124)),7/6,1) *
IF(OR(ISNUMBER(SEARCH("Beam",$L124)),ISNUMBER(SEARCH("Firestorm",$L124))),1, IF(ISNUMBER(SEARCH("Blast",$L124)),(4+$F124+(2-$F124)*0.5)/6*2,(4+$F124)/6)) *
IF(ISNUMBER(SEARCH("Fusion",$L124)), _xlfn.IFS(X$24-$I124 &lt;=1, 9/10, X$24-$I124 &lt;=10,(11-(X$24-$I124))/10, X$24-$I124 &gt;=11, 0),
_xlfn.IFS(X$24-$I124 &lt;=1, 5/6, X$24-$I124 &lt;=5, (7-(X$24-$I124))/6, AND(X$24-$I124 =6,NOT(_xlfn.IFNA(ISNUMBER(SEARCH("Rending",$L124)),FALSE))), (7-(X$24-$I124))/6, AND(X$24-$I124 &gt;=7,NOT(_xlfn.IFNA(ISNUMBER(SEARCH("Rending",$L124)),FALSE))), 0, X$24-$I124 =7, (7-(X$24-1-$I124))/6, X$24-$I124 =8, (7-(X$24-2-$I124))/6*2/3, X$24-$I124 =9, (7-(X$24-3-$I124))/6*1/3, TRUE, 0)) *
IF(ISNUMBER(SEARCH("Ordinance",$L124)),7/6,1) *
IF(OR(ISNUMBER(SEARCH("Melee",$L124)),ISNUMBER(SEARCH("Bypass",$L124))),1.5,1)</f>
        <v>0</v>
      </c>
      <c r="Y124" s="17" cm="1">
        <f t="array" ref="Y124">$H124 *
IF(ISNUMBER(SEARCH("Rapid",$L124)),7/6,1) *
IF(OR(ISNUMBER(SEARCH("Beam",$L124)),ISNUMBER(SEARCH("Firestorm",$L124))),1, IF(ISNUMBER(SEARCH("Blast",$L124)),(4+$F124+(2-$F124)*0.5)/6*2,(4+$F124)/6)) *
IF(ISNUMBER(SEARCH("Fusion",$L124)), _xlfn.IFS(Y$24-$I124 &lt;=1, 9/10, Y$24-$I124 &lt;=10,(11-(Y$24-$I124))/10, Y$24-$I124 &gt;=11, 0),
_xlfn.IFS(Y$24-$I124 &lt;=1, 5/6, Y$24-$I124 &lt;=5, (7-(Y$24-$I124))/6, AND(Y$24-$I124 =6,NOT(_xlfn.IFNA(ISNUMBER(SEARCH("Rending",$L124)),FALSE))), (7-(Y$24-$I124))/6, AND(Y$24-$I124 &gt;=7,NOT(_xlfn.IFNA(ISNUMBER(SEARCH("Rending",$L124)),FALSE))), 0, Y$24-$I124 =7, (7-(Y$24-1-$I124))/6, Y$24-$I124 =8, (7-(Y$24-2-$I124))/6*2/3, Y$24-$I124 =9, (7-(Y$24-3-$I124))/6*1/3, TRUE, 0)) *
IF(ISNUMBER(SEARCH("Ordinance",$L124)),7/6,1) *
IF(OR(ISNUMBER(SEARCH("Melee",$L124)),ISNUMBER(SEARCH("Bypass",$L124))),1.5,1)</f>
        <v>0</v>
      </c>
      <c r="Z124" s="17" cm="1">
        <f t="array" ref="Z124">$H124 *
IF(ISNUMBER(SEARCH("Rapid",$L124)),7/6,1) *
IF(OR(ISNUMBER(SEARCH("Beam",$L124)),ISNUMBER(SEARCH("Firestorm",$L124))),1, IF(ISNUMBER(SEARCH("Blast",$L124)),(4+$F124+(2-$F124)*0.5)/6*2,(4+$F124)/6)) *
IF(ISNUMBER(SEARCH("Fusion",$L124)), _xlfn.IFS(Z$24-$I124 &lt;=1, 9/10, Z$24-$I124 &lt;=10,(11-(Z$24-$I124))/10, Z$24-$I124 &gt;=11, 0),
_xlfn.IFS(Z$24-$I124 &lt;=1, 5/6, Z$24-$I124 &lt;=5, (7-(Z$24-$I124))/6, AND(Z$24-$I124 =6,NOT(_xlfn.IFNA(ISNUMBER(SEARCH("Rending",$L124)),FALSE))), (7-(Z$24-$I124))/6, AND(Z$24-$I124 &gt;=7,NOT(_xlfn.IFNA(ISNUMBER(SEARCH("Rending",$L124)),FALSE))), 0, Z$24-$I124 =7, (7-(Z$24-1-$I124))/6, Z$24-$I124 =8, (7-(Z$24-2-$I124))/6*2/3, Z$24-$I124 =9, (7-(Z$24-3-$I124))/6*1/3, TRUE, 0)) *
IF(ISNUMBER(SEARCH("Ordinance",$L124)),7/6,1) *
IF(OR(ISNUMBER(SEARCH("Melee",$L124)),ISNUMBER(SEARCH("Bypass",$L124))),1.5,1)</f>
        <v>0</v>
      </c>
      <c r="AA124" s="17" cm="1">
        <f t="array" ref="AA124">$H124 *
IF(ISNUMBER(SEARCH("Rapid",$L124)),7/6,1) *
IF(OR(ISNUMBER(SEARCH("Beam",$L124)),ISNUMBER(SEARCH("Firestorm",$L124))),1, IF(ISNUMBER(SEARCH("Blast",$L124)),(4+$F124+(2-$F124)*0.5)/6*2,(4+$F124)/6)) *
IF(ISNUMBER(SEARCH("Fusion",$L124)), _xlfn.IFS(AA$24-$I124 &lt;=1, 9/10, AA$24-$I124 &lt;=10,(11-(AA$24-$I124))/10, AA$24-$I124 &gt;=11, 0),
_xlfn.IFS(AA$24-$I124 &lt;=1, 5/6, AA$24-$I124 &lt;=5, (7-(AA$24-$I124))/6, AND(AA$24-$I124 =6,NOT(_xlfn.IFNA(ISNUMBER(SEARCH("Rending",$L124)),FALSE))), (7-(AA$24-$I124))/6, AND(AA$24-$I124 &gt;=7,NOT(_xlfn.IFNA(ISNUMBER(SEARCH("Rending",$L124)),FALSE))), 0, AA$24-$I124 =7, (7-(AA$24-1-$I124))/6, AA$24-$I124 =8, (7-(AA$24-2-$I124))/6*2/3, AA$24-$I124 =9, (7-(AA$24-3-$I124))/6*1/3, TRUE, 0)) *
IF(ISNUMBER(SEARCH("Ordinance",$L124)),7/6,1) *
IF(OR(ISNUMBER(SEARCH("Melee",$L124)),ISNUMBER(SEARCH("Bypass",$L124))),1.5,1)</f>
        <v>0</v>
      </c>
      <c r="AB124" s="17" cm="1">
        <f t="array" ref="AB124">$H124 *
IF(ISNUMBER(SEARCH("Rapid",$L124)),7/6,1) *
IF(OR(ISNUMBER(SEARCH("Beam",$L124)),ISNUMBER(SEARCH("Firestorm",$L124))),1, IF(ISNUMBER(SEARCH("Blast",$L124)),(4+$F124+(2-$F124)*0.5)/6*2,(4+$F124)/6)) *
IF(ISNUMBER(SEARCH("Fusion",$L124)), _xlfn.IFS(AB$24-$I124 &lt;=1, 9/10, AB$24-$I124 &lt;=10,(11-(AB$24-$I124))/10, AB$24-$I124 &gt;=11, 0),
_xlfn.IFS(AB$24-$I124 &lt;=1, 5/6, AB$24-$I124 &lt;=5, (7-(AB$24-$I124))/6, AND(AB$24-$I124 =6,NOT(_xlfn.IFNA(ISNUMBER(SEARCH("Rending",$L124)),FALSE))), (7-(AB$24-$I124))/6, AND(AB$24-$I124 &gt;=7,NOT(_xlfn.IFNA(ISNUMBER(SEARCH("Rending",$L124)),FALSE))), 0, AB$24-$I124 =7, (7-(AB$24-1-$I124))/6, AB$24-$I124 =8, (7-(AB$24-2-$I124))/6*2/3, AB$24-$I124 =9, (7-(AB$24-3-$I124))/6*1/3, TRUE, 0)) *
IF(ISNUMBER(SEARCH("Ordinance",$L124)),7/6,1) *
IF(OR(ISNUMBER(SEARCH("Melee",$L124)),ISNUMBER(SEARCH("Bypass",$L124))),1.5,1)</f>
        <v>0</v>
      </c>
      <c r="AC124" s="17" cm="1">
        <f t="array" ref="AC124">$H124 *
IF(ISNUMBER(SEARCH("Rapid",$L124)),7/6,1) *
IF(OR(ISNUMBER(SEARCH("Beam",$L124)),ISNUMBER(SEARCH("Firestorm",$L124))),1, IF(ISNUMBER(SEARCH("Blast",$L124)),(4+$F124+(2-$F124)*0.5)/6*2,(4+$F124)/6)) *
IF(ISNUMBER(SEARCH("Fusion",$L124)), _xlfn.IFS(AC$24-$I124 &lt;=1, 9/10, AC$24-$I124 &lt;=10,(11-(AC$24-$I124))/10, AC$24-$I124 &gt;=11, 0),
_xlfn.IFS(AC$24-$I124 &lt;=1, 5/6, AC$24-$I124 &lt;=5, (7-(AC$24-$I124))/6, AND(AC$24-$I124 =6,NOT(_xlfn.IFNA(ISNUMBER(SEARCH("Rending",$L124)),FALSE))), (7-(AC$24-$I124))/6, AND(AC$24-$I124 &gt;=7,NOT(_xlfn.IFNA(ISNUMBER(SEARCH("Rending",$L124)),FALSE))), 0, AC$24-$I124 =7, (7-(AC$24-1-$I124))/6, AC$24-$I124 =8, (7-(AC$24-2-$I124))/6*2/3, AC$24-$I124 =9, (7-(AC$24-3-$I124))/6*1/3, TRUE, 0)) *
IF(ISNUMBER(SEARCH("Ordinance",$L124)),7/6,1) *
IF(OR(ISNUMBER(SEARCH("Melee",$L124)),ISNUMBER(SEARCH("Bypass",$L124))),1.5,1)</f>
        <v>0</v>
      </c>
      <c r="AD124" s="17" cm="1">
        <f t="array" ref="AD124">$H124 *
IF(ISNUMBER(SEARCH("Rapid",$L124)),7/6,1) *
IF(OR(ISNUMBER(SEARCH("Beam",$L124)),ISNUMBER(SEARCH("Firestorm",$L124))),1, IF(ISNUMBER(SEARCH("Blast",$L124)),(4+$F124+(2-$F124)*0.5)/6*2,(4+$F124)/6)) *
IF(ISNUMBER(SEARCH("Fusion",$L124)), _xlfn.IFS(AD$24-$I124 &lt;=1, 9/10, AD$24-$I124 &lt;=10,(11-(AD$24-$I124))/10, AD$24-$I124 &gt;=11, 0),
_xlfn.IFS(AD$24-$I124 &lt;=1, 5/6, AD$24-$I124 &lt;=5, (7-(AD$24-$I124))/6, AND(AD$24-$I124 =6,NOT(_xlfn.IFNA(ISNUMBER(SEARCH("Rending",$L124)),FALSE))), (7-(AD$24-$I124))/6, AND(AD$24-$I124 &gt;=7,NOT(_xlfn.IFNA(ISNUMBER(SEARCH("Rending",$L124)),FALSE))), 0, AD$24-$I124 =7, (7-(AD$24-1-$I124))/6, AD$24-$I124 =8, (7-(AD$24-2-$I124))/6*2/3, AD$24-$I124 =9, (7-(AD$24-3-$I124))/6*1/3, TRUE, 0)) *
IF(ISNUMBER(SEARCH("Ordinance",$L124)),7/6,1) *
IF(OR(ISNUMBER(SEARCH("Melee",$L124)),ISNUMBER(SEARCH("Bypass",$L124))),1.5,1)</f>
        <v>0</v>
      </c>
      <c r="AE124" s="17" cm="1">
        <f t="array" ref="AE124">$H124 *
IF(ISNUMBER(SEARCH("Rapid",$L124)),7/6,1) *
IF(OR(ISNUMBER(SEARCH("Beam",$L124)),ISNUMBER(SEARCH("Firestorm",$L124))),1, IF(ISNUMBER(SEARCH("Blast",$L124)),(4+$F124+(2-$F124)*0.5)/6*2,(4+$F124)/6)) *
IF(ISNUMBER(SEARCH("Fusion",$L124)), _xlfn.IFS(AE$24-$I124 &lt;=1, 9/10, AE$24-$I124 &lt;=10,(11-(AE$24-$I124))/10, AE$24-$I124 &gt;=11, 0),
_xlfn.IFS(AE$24-$I124 &lt;=1, 5/6, AE$24-$I124 &lt;=5, (7-(AE$24-$I124))/6, AND(AE$24-$I124 =6,NOT(_xlfn.IFNA(ISNUMBER(SEARCH("Rending",$L124)),FALSE))), (7-(AE$24-$I124))/6, AND(AE$24-$I124 &gt;=7,NOT(_xlfn.IFNA(ISNUMBER(SEARCH("Rending",$L124)),FALSE))), 0, AE$24-$I124 =7, (7-(AE$24-1-$I124))/6, AE$24-$I124 =8, (7-(AE$24-2-$I124))/6*2/3, AE$24-$I124 =9, (7-(AE$24-3-$I124))/6*1/3, TRUE, 0)) *
IF(ISNUMBER(SEARCH("Ordinance",$L124)),7/6,1) *
IF(OR(ISNUMBER(SEARCH("Melee",$L124)),ISNUMBER(SEARCH("Bypass",$L124))),1.5,1)</f>
        <v>0</v>
      </c>
      <c r="AF124" s="17" cm="1">
        <f t="array" ref="AF124">$H124 *
IF(ISNUMBER(SEARCH("Rapid",$L124)),7/6,1) *
IF(OR(ISNUMBER(SEARCH("Beam",$L124)),ISNUMBER(SEARCH("Firestorm",$L124))),1, IF(ISNUMBER(SEARCH("Blast",$L124)),(4+$F124+(2-$F124)*0.5)/6*2,(4+$F124)/6)) *
IF(ISNUMBER(SEARCH("Fusion",$L124)), _xlfn.IFS(AF$24-$I124 &lt;=1, 9/10, AF$24-$I124 &lt;=10,(11-(AF$24-$I124))/10, AF$24-$I124 &gt;=11, 0),
_xlfn.IFS(AF$24-$I124 &lt;=1, 5/6, AF$24-$I124 &lt;=5, (7-(AF$24-$I124))/6, AND(AF$24-$I124 =6,NOT(_xlfn.IFNA(ISNUMBER(SEARCH("Rending",$L124)),FALSE))), (7-(AF$24-$I124))/6, AND(AF$24-$I124 &gt;=7,NOT(_xlfn.IFNA(ISNUMBER(SEARCH("Rending",$L124)),FALSE))), 0, AF$24-$I124 =7, (7-(AF$24-1-$I124))/6, AF$24-$I124 =8, (7-(AF$24-2-$I124))/6*2/3, AF$24-$I124 =9, (7-(AF$24-3-$I124))/6*1/3, TRUE, 0)) *
IF(ISNUMBER(SEARCH("Ordinance",$L124)),7/6,1) *
IF(OR(ISNUMBER(SEARCH("Melee",$L124)),ISNUMBER(SEARCH("Bypass",$L124))),1.5,1)</f>
        <v>0</v>
      </c>
      <c r="AG124" s="16">
        <f t="shared" si="22"/>
        <v>0</v>
      </c>
      <c r="AH124" s="16">
        <f t="shared" si="23"/>
        <v>0</v>
      </c>
      <c r="AI124" s="17" cm="1">
        <f t="array" ref="AI124">$H124 *
IF(ISNUMBER(SEARCH("Rapid",$L124)),7/6,1) *
IF(OR(ISNUMBER(SEARCH("Beam",$L124)),ISNUMBER(SEARCH("Firestorm",$L124))),1, IF(ISNUMBER(SEARCH("Blast",$L124)),(4+$G124+(2-$G124)*0.5)/6*2,(4+$G124)/6)) *
_xlfn.IFS(AI$24-$I124 &lt;=1, 5/6, AI$24-$I124 &lt;=5, (7-(AI$24-$I124))/6, AND(AI$24-$I124 =6,NOT(_xlfn.IFNA(ISNUMBER(SEARCH("Rending",$L124)),FALSE))), (7-(AI$24-$I124))/6, AND(AI$24-$I124 &gt;=7,NOT(_xlfn.IFNA(ISNUMBER(SEARCH("Rending",$L124)),FALSE))), 0, AI$24-$I124 =7, (7-(AI$24-1-$I124))/6, AI$24-$I124 =8, (7-(AI$24-2-$I124))/6*2/3, AI$24-$I124 =9, (7-(AI$24-3-$I124))/6*1/3, TRUE, 0) *
IF(ISNUMBER(SEARCH("Ordinance",$L124)),7/6,1) *
IF(OR(ISNUMBER(SEARCH("Melee",$L124)),ISNUMBER(SEARCH("Bypass",$L124))),1.5,1)</f>
        <v>0</v>
      </c>
      <c r="AJ124" s="17" cm="1">
        <f t="array" ref="AJ124">$H124 *
IF(ISNUMBER(SEARCH("Rapid",$L124)),7/6,1) *
IF(OR(ISNUMBER(SEARCH("Beam",$L124)),ISNUMBER(SEARCH("Firestorm",$L124))),1, IF(ISNUMBER(SEARCH("Blast",$L124)),(4+$G124+(2-$G124)*0.5)/6*2,(4+$G124)/6)) *
_xlfn.IFS(AJ$24-$I124 &lt;=1, 5/6, AJ$24-$I124 &lt;=5, (7-(AJ$24-$I124))/6, AND(AJ$24-$I124 =6,NOT(_xlfn.IFNA(ISNUMBER(SEARCH("Rending",$L124)),FALSE))), (7-(AJ$24-$I124))/6, AND(AJ$24-$I124 &gt;=7,NOT(_xlfn.IFNA(ISNUMBER(SEARCH("Rending",$L124)),FALSE))), 0, AJ$24-$I124 =7, (7-(AJ$24-1-$I124))/6, AJ$24-$I124 =8, (7-(AJ$24-2-$I124))/6*2/3, AJ$24-$I124 =9, (7-(AJ$24-3-$I124))/6*1/3, TRUE, 0) *
IF(ISNUMBER(SEARCH("Ordinance",$L124)),7/6,1) *
IF(OR(ISNUMBER(SEARCH("Melee",$L124)),ISNUMBER(SEARCH("Bypass",$L124))),1.5,1)</f>
        <v>0</v>
      </c>
      <c r="AK124" s="17" cm="1">
        <f t="array" ref="AK124">$H124 *
IF(ISNUMBER(SEARCH("Rapid",$L124)),7/6,1) *
IF(OR(ISNUMBER(SEARCH("Beam",$L124)),ISNUMBER(SEARCH("Firestorm",$L124))),1, IF(ISNUMBER(SEARCH("Blast",$L124)),(4+$G124+(2-$G124)*0.5)/6*2,(4+$G124)/6)) *
_xlfn.IFS(AK$24-$I124 &lt;=1, 5/6, AK$24-$I124 &lt;=5, (7-(AK$24-$I124))/6, AND(AK$24-$I124 =6,NOT(_xlfn.IFNA(ISNUMBER(SEARCH("Rending",$L124)),FALSE))), (7-(AK$24-$I124))/6, AND(AK$24-$I124 &gt;=7,NOT(_xlfn.IFNA(ISNUMBER(SEARCH("Rending",$L124)),FALSE))), 0, AK$24-$I124 =7, (7-(AK$24-1-$I124))/6, AK$24-$I124 =8, (7-(AK$24-2-$I124))/6*2/3, AK$24-$I124 =9, (7-(AK$24-3-$I124))/6*1/3, TRUE, 0) *
IF(ISNUMBER(SEARCH("Ordinance",$L124)),7/6,1) *
IF(OR(ISNUMBER(SEARCH("Melee",$L124)),ISNUMBER(SEARCH("Bypass",$L124))),1.5,1)</f>
        <v>0</v>
      </c>
      <c r="AL124" s="17" cm="1">
        <f t="array" ref="AL124">$H124 *
IF(ISNUMBER(SEARCH("Rapid",$L124)),7/6,1) *
IF(OR(ISNUMBER(SEARCH("Beam",$L124)),ISNUMBER(SEARCH("Firestorm",$L124))),1, IF(ISNUMBER(SEARCH("Blast",$L124)),(4+$G124+(2-$G124)*0.5)/6*2,(4+$G124)/6)) *
_xlfn.IFS(AL$24-$I124 &lt;=1, 5/6, AL$24-$I124 &lt;=5, (7-(AL$24-$I124))/6, AND(AL$24-$I124 =6,NOT(_xlfn.IFNA(ISNUMBER(SEARCH("Rending",$L124)),FALSE))), (7-(AL$24-$I124))/6, AND(AL$24-$I124 &gt;=7,NOT(_xlfn.IFNA(ISNUMBER(SEARCH("Rending",$L124)),FALSE))), 0, AL$24-$I124 =7, (7-(AL$24-1-$I124))/6, AL$24-$I124 =8, (7-(AL$24-2-$I124))/6*2/3, AL$24-$I124 =9, (7-(AL$24-3-$I124))/6*1/3, TRUE, 0) *
IF(ISNUMBER(SEARCH("Ordinance",$L124)),7/6,1) *
IF(OR(ISNUMBER(SEARCH("Melee",$L124)),ISNUMBER(SEARCH("Bypass",$L124))),1.5,1)</f>
        <v>0</v>
      </c>
      <c r="AM124" s="17" cm="1">
        <f t="array" ref="AM124">$H124 *
IF(ISNUMBER(SEARCH("Rapid",$L124)),7/6,1) *
IF(OR(ISNUMBER(SEARCH("Beam",$L124)),ISNUMBER(SEARCH("Firestorm",$L124))),1, IF(ISNUMBER(SEARCH("Blast",$L124)),(4+$G124+(2-$G124)*0.5)/6*2,(4+$G124)/6)) *
_xlfn.IFS(AM$24-$I124 &lt;=1, 5/6, AM$24-$I124 &lt;=5, (7-(AM$24-$I124))/6, AND(AM$24-$I124 =6,NOT(_xlfn.IFNA(ISNUMBER(SEARCH("Rending",$L124)),FALSE))), (7-(AM$24-$I124))/6, AND(AM$24-$I124 &gt;=7,NOT(_xlfn.IFNA(ISNUMBER(SEARCH("Rending",$L124)),FALSE))), 0, AM$24-$I124 =7, (7-(AM$24-1-$I124))/6, AM$24-$I124 =8, (7-(AM$24-2-$I124))/6*2/3, AM$24-$I124 =9, (7-(AM$24-3-$I124))/6*1/3, TRUE, 0) *
IF(ISNUMBER(SEARCH("Ordinance",$L124)),7/6,1) *
IF(OR(ISNUMBER(SEARCH("Melee",$L124)),ISNUMBER(SEARCH("Bypass",$L124))),1.5,1)</f>
        <v>0</v>
      </c>
      <c r="AN124" s="17" cm="1">
        <f t="array" ref="AN124">$H124 *
IF(ISNUMBER(SEARCH("Rapid",$L124)),7/6,1) *
IF(OR(ISNUMBER(SEARCH("Beam",$L124)),ISNUMBER(SEARCH("Firestorm",$L124))),1, IF(ISNUMBER(SEARCH("Blast",$L124)),(4+$G124+(2-$G124)*0.5)/6*2,(4+$G124)/6)) *
_xlfn.IFS(AN$24-$I124 &lt;=1, 5/6, AN$24-$I124 &lt;=5, (7-(AN$24-$I124))/6, AND(AN$24-$I124 =6,NOT(_xlfn.IFNA(ISNUMBER(SEARCH("Rending",$L124)),FALSE))), (7-(AN$24-$I124))/6, AND(AN$24-$I124 &gt;=7,NOT(_xlfn.IFNA(ISNUMBER(SEARCH("Rending",$L124)),FALSE))), 0, AN$24-$I124 =7, (7-(AN$24-1-$I124))/6, AN$24-$I124 =8, (7-(AN$24-2-$I124))/6*2/3, AN$24-$I124 =9, (7-(AN$24-3-$I124))/6*1/3, TRUE, 0) *
IF(ISNUMBER(SEARCH("Ordinance",$L124)),7/6,1) *
IF(OR(ISNUMBER(SEARCH("Melee",$L124)),ISNUMBER(SEARCH("Bypass",$L124))),1.5,1)</f>
        <v>0</v>
      </c>
      <c r="AO124" s="17" cm="1">
        <f t="array" ref="AO124">$H124 *
IF(ISNUMBER(SEARCH("Rapid",$L124)),7/6,1) *
IF(OR(ISNUMBER(SEARCH("Beam",$L124)),ISNUMBER(SEARCH("Firestorm",$L124))),1, IF(ISNUMBER(SEARCH("Blast",$L124)),(4+$G124+(2-$G124)*0.5)/6*2,(4+$G124)/6)) *
_xlfn.IFS(AO$24-$I124 &lt;=1, 5/6, AO$24-$I124 &lt;=5, (7-(AO$24-$I124))/6, AND(AO$24-$I124 =6,NOT(_xlfn.IFNA(ISNUMBER(SEARCH("Rending",$L124)),FALSE))), (7-(AO$24-$I124))/6, AND(AO$24-$I124 &gt;=7,NOT(_xlfn.IFNA(ISNUMBER(SEARCH("Rending",$L124)),FALSE))), 0, AO$24-$I124 =7, (7-(AO$24-1-$I124))/6, AO$24-$I124 =8, (7-(AO$24-2-$I124))/6*2/3, AO$24-$I124 =9, (7-(AO$24-3-$I124))/6*1/3, TRUE, 0) *
IF(ISNUMBER(SEARCH("Ordinance",$L124)),7/6,1) *
IF(OR(ISNUMBER(SEARCH("Melee",$L124)),ISNUMBER(SEARCH("Bypass",$L124))),1.5,1)</f>
        <v>0</v>
      </c>
      <c r="AP124" s="17" cm="1">
        <f t="array" ref="AP124">$H124 *
IF(ISNUMBER(SEARCH("Rapid",$L124)),7/6,1) *
IF(OR(ISNUMBER(SEARCH("Beam",$L124)),ISNUMBER(SEARCH("Firestorm",$L124))),1, IF(ISNUMBER(SEARCH("Blast",$L124)),(4+$G124+(2-$G124)*0.5)/6*2,(4+$G124)/6)) *
_xlfn.IFS(AP$24-$I124 &lt;=1, 5/6, AP$24-$I124 &lt;=5, (7-(AP$24-$I124))/6, AND(AP$24-$I124 =6,NOT(_xlfn.IFNA(ISNUMBER(SEARCH("Rending",$L124)),FALSE))), (7-(AP$24-$I124))/6, AND(AP$24-$I124 &gt;=7,NOT(_xlfn.IFNA(ISNUMBER(SEARCH("Rending",$L124)),FALSE))), 0, AP$24-$I124 =7, (7-(AP$24-1-$I124))/6, AP$24-$I124 =8, (7-(AP$24-2-$I124))/6*2/3, AP$24-$I124 =9, (7-(AP$24-3-$I124))/6*1/3, TRUE, 0) *
IF(ISNUMBER(SEARCH("Ordinance",$L124)),7/6,1) *
IF(OR(ISNUMBER(SEARCH("Melee",$L124)),ISNUMBER(SEARCH("Bypass",$L124))),1.5,1)</f>
        <v>0</v>
      </c>
      <c r="AQ124" s="17" cm="1">
        <f t="array" ref="AQ124">$H124 *
IF(ISNUMBER(SEARCH("Rapid",$L124)),7/6,1) *
IF(OR(ISNUMBER(SEARCH("Beam",$L124)),ISNUMBER(SEARCH("Firestorm",$L124))),1, IF(ISNUMBER(SEARCH("Blast",$L124)),(4+$G124+(2-$G124)*0.5)/6*2,(4+$G124)/6)) *
_xlfn.IFS(AQ$24-$I124 &lt;=1, 5/6, AQ$24-$I124 &lt;=5, (7-(AQ$24-$I124))/6, AND(AQ$24-$I124 =6,NOT(_xlfn.IFNA(ISNUMBER(SEARCH("Rending",$L124)),FALSE))), (7-(AQ$24-$I124))/6, AND(AQ$24-$I124 &gt;=7,NOT(_xlfn.IFNA(ISNUMBER(SEARCH("Rending",$L124)),FALSE))), 0, AQ$24-$I124 =7, (7-(AQ$24-1-$I124))/6, AQ$24-$I124 =8, (7-(AQ$24-2-$I124))/6*2/3, AQ$24-$I124 =9, (7-(AQ$24-3-$I124))/6*1/3, TRUE, 0) *
IF(ISNUMBER(SEARCH("Ordinance",$L124)),7/6,1) *
IF(OR(ISNUMBER(SEARCH("Melee",$L124)),ISNUMBER(SEARCH("Bypass",$L124))),1.5,1)</f>
        <v>0</v>
      </c>
    </row>
    <row r="125" spans="1:48" x14ac:dyDescent="0.3">
      <c r="F125" s="10"/>
      <c r="G125" s="10"/>
      <c r="V125" s="16">
        <f t="shared" si="20"/>
        <v>0</v>
      </c>
      <c r="W125" s="16">
        <f t="shared" si="21"/>
        <v>0</v>
      </c>
      <c r="X125" s="17" cm="1">
        <f t="array" ref="X125">$H125 *
IF(ISNUMBER(SEARCH("Rapid",$L125)),7/6,1) *
IF(OR(ISNUMBER(SEARCH("Beam",$L125)),ISNUMBER(SEARCH("Firestorm",$L125))),1, IF(ISNUMBER(SEARCH("Blast",$L125)),(4+$F125+(2-$F125)*0.5)/6*2,(4+$F125)/6)) *
IF(ISNUMBER(SEARCH("Fusion",$L125)), _xlfn.IFS(X$24-$I125 &lt;=1, 9/10, X$24-$I125 &lt;=10,(11-(X$24-$I125))/10, X$24-$I125 &gt;=11, 0),
_xlfn.IFS(X$24-$I125 &lt;=1, 5/6, X$24-$I125 &lt;=5, (7-(X$24-$I125))/6, AND(X$24-$I125 =6,NOT(_xlfn.IFNA(ISNUMBER(SEARCH("Rending",$L125)),FALSE))), (7-(X$24-$I125))/6, AND(X$24-$I125 &gt;=7,NOT(_xlfn.IFNA(ISNUMBER(SEARCH("Rending",$L125)),FALSE))), 0, X$24-$I125 =7, (7-(X$24-1-$I125))/6, X$24-$I125 =8, (7-(X$24-2-$I125))/6*2/3, X$24-$I125 =9, (7-(X$24-3-$I125))/6*1/3, TRUE, 0)) *
IF(ISNUMBER(SEARCH("Ordinance",$L125)),7/6,1) *
IF(OR(ISNUMBER(SEARCH("Melee",$L125)),ISNUMBER(SEARCH("Bypass",$L125))),1.5,1)</f>
        <v>0</v>
      </c>
      <c r="Y125" s="17" cm="1">
        <f t="array" ref="Y125">$H125 *
IF(ISNUMBER(SEARCH("Rapid",$L125)),7/6,1) *
IF(OR(ISNUMBER(SEARCH("Beam",$L125)),ISNUMBER(SEARCH("Firestorm",$L125))),1, IF(ISNUMBER(SEARCH("Blast",$L125)),(4+$F125+(2-$F125)*0.5)/6*2,(4+$F125)/6)) *
IF(ISNUMBER(SEARCH("Fusion",$L125)), _xlfn.IFS(Y$24-$I125 &lt;=1, 9/10, Y$24-$I125 &lt;=10,(11-(Y$24-$I125))/10, Y$24-$I125 &gt;=11, 0),
_xlfn.IFS(Y$24-$I125 &lt;=1, 5/6, Y$24-$I125 &lt;=5, (7-(Y$24-$I125))/6, AND(Y$24-$I125 =6,NOT(_xlfn.IFNA(ISNUMBER(SEARCH("Rending",$L125)),FALSE))), (7-(Y$24-$I125))/6, AND(Y$24-$I125 &gt;=7,NOT(_xlfn.IFNA(ISNUMBER(SEARCH("Rending",$L125)),FALSE))), 0, Y$24-$I125 =7, (7-(Y$24-1-$I125))/6, Y$24-$I125 =8, (7-(Y$24-2-$I125))/6*2/3, Y$24-$I125 =9, (7-(Y$24-3-$I125))/6*1/3, TRUE, 0)) *
IF(ISNUMBER(SEARCH("Ordinance",$L125)),7/6,1) *
IF(OR(ISNUMBER(SEARCH("Melee",$L125)),ISNUMBER(SEARCH("Bypass",$L125))),1.5,1)</f>
        <v>0</v>
      </c>
      <c r="Z125" s="17" cm="1">
        <f t="array" ref="Z125">$H125 *
IF(ISNUMBER(SEARCH("Rapid",$L125)),7/6,1) *
IF(OR(ISNUMBER(SEARCH("Beam",$L125)),ISNUMBER(SEARCH("Firestorm",$L125))),1, IF(ISNUMBER(SEARCH("Blast",$L125)),(4+$F125+(2-$F125)*0.5)/6*2,(4+$F125)/6)) *
IF(ISNUMBER(SEARCH("Fusion",$L125)), _xlfn.IFS(Z$24-$I125 &lt;=1, 9/10, Z$24-$I125 &lt;=10,(11-(Z$24-$I125))/10, Z$24-$I125 &gt;=11, 0),
_xlfn.IFS(Z$24-$I125 &lt;=1, 5/6, Z$24-$I125 &lt;=5, (7-(Z$24-$I125))/6, AND(Z$24-$I125 =6,NOT(_xlfn.IFNA(ISNUMBER(SEARCH("Rending",$L125)),FALSE))), (7-(Z$24-$I125))/6, AND(Z$24-$I125 &gt;=7,NOT(_xlfn.IFNA(ISNUMBER(SEARCH("Rending",$L125)),FALSE))), 0, Z$24-$I125 =7, (7-(Z$24-1-$I125))/6, Z$24-$I125 =8, (7-(Z$24-2-$I125))/6*2/3, Z$24-$I125 =9, (7-(Z$24-3-$I125))/6*1/3, TRUE, 0)) *
IF(ISNUMBER(SEARCH("Ordinance",$L125)),7/6,1) *
IF(OR(ISNUMBER(SEARCH("Melee",$L125)),ISNUMBER(SEARCH("Bypass",$L125))),1.5,1)</f>
        <v>0</v>
      </c>
      <c r="AA125" s="17" cm="1">
        <f t="array" ref="AA125">$H125 *
IF(ISNUMBER(SEARCH("Rapid",$L125)),7/6,1) *
IF(OR(ISNUMBER(SEARCH("Beam",$L125)),ISNUMBER(SEARCH("Firestorm",$L125))),1, IF(ISNUMBER(SEARCH("Blast",$L125)),(4+$F125+(2-$F125)*0.5)/6*2,(4+$F125)/6)) *
IF(ISNUMBER(SEARCH("Fusion",$L125)), _xlfn.IFS(AA$24-$I125 &lt;=1, 9/10, AA$24-$I125 &lt;=10,(11-(AA$24-$I125))/10, AA$24-$I125 &gt;=11, 0),
_xlfn.IFS(AA$24-$I125 &lt;=1, 5/6, AA$24-$I125 &lt;=5, (7-(AA$24-$I125))/6, AND(AA$24-$I125 =6,NOT(_xlfn.IFNA(ISNUMBER(SEARCH("Rending",$L125)),FALSE))), (7-(AA$24-$I125))/6, AND(AA$24-$I125 &gt;=7,NOT(_xlfn.IFNA(ISNUMBER(SEARCH("Rending",$L125)),FALSE))), 0, AA$24-$I125 =7, (7-(AA$24-1-$I125))/6, AA$24-$I125 =8, (7-(AA$24-2-$I125))/6*2/3, AA$24-$I125 =9, (7-(AA$24-3-$I125))/6*1/3, TRUE, 0)) *
IF(ISNUMBER(SEARCH("Ordinance",$L125)),7/6,1) *
IF(OR(ISNUMBER(SEARCH("Melee",$L125)),ISNUMBER(SEARCH("Bypass",$L125))),1.5,1)</f>
        <v>0</v>
      </c>
      <c r="AB125" s="17" cm="1">
        <f t="array" ref="AB125">$H125 *
IF(ISNUMBER(SEARCH("Rapid",$L125)),7/6,1) *
IF(OR(ISNUMBER(SEARCH("Beam",$L125)),ISNUMBER(SEARCH("Firestorm",$L125))),1, IF(ISNUMBER(SEARCH("Blast",$L125)),(4+$F125+(2-$F125)*0.5)/6*2,(4+$F125)/6)) *
IF(ISNUMBER(SEARCH("Fusion",$L125)), _xlfn.IFS(AB$24-$I125 &lt;=1, 9/10, AB$24-$I125 &lt;=10,(11-(AB$24-$I125))/10, AB$24-$I125 &gt;=11, 0),
_xlfn.IFS(AB$24-$I125 &lt;=1, 5/6, AB$24-$I125 &lt;=5, (7-(AB$24-$I125))/6, AND(AB$24-$I125 =6,NOT(_xlfn.IFNA(ISNUMBER(SEARCH("Rending",$L125)),FALSE))), (7-(AB$24-$I125))/6, AND(AB$24-$I125 &gt;=7,NOT(_xlfn.IFNA(ISNUMBER(SEARCH("Rending",$L125)),FALSE))), 0, AB$24-$I125 =7, (7-(AB$24-1-$I125))/6, AB$24-$I125 =8, (7-(AB$24-2-$I125))/6*2/3, AB$24-$I125 =9, (7-(AB$24-3-$I125))/6*1/3, TRUE, 0)) *
IF(ISNUMBER(SEARCH("Ordinance",$L125)),7/6,1) *
IF(OR(ISNUMBER(SEARCH("Melee",$L125)),ISNUMBER(SEARCH("Bypass",$L125))),1.5,1)</f>
        <v>0</v>
      </c>
      <c r="AC125" s="17" cm="1">
        <f t="array" ref="AC125">$H125 *
IF(ISNUMBER(SEARCH("Rapid",$L125)),7/6,1) *
IF(OR(ISNUMBER(SEARCH("Beam",$L125)),ISNUMBER(SEARCH("Firestorm",$L125))),1, IF(ISNUMBER(SEARCH("Blast",$L125)),(4+$F125+(2-$F125)*0.5)/6*2,(4+$F125)/6)) *
IF(ISNUMBER(SEARCH("Fusion",$L125)), _xlfn.IFS(AC$24-$I125 &lt;=1, 9/10, AC$24-$I125 &lt;=10,(11-(AC$24-$I125))/10, AC$24-$I125 &gt;=11, 0),
_xlfn.IFS(AC$24-$I125 &lt;=1, 5/6, AC$24-$I125 &lt;=5, (7-(AC$24-$I125))/6, AND(AC$24-$I125 =6,NOT(_xlfn.IFNA(ISNUMBER(SEARCH("Rending",$L125)),FALSE))), (7-(AC$24-$I125))/6, AND(AC$24-$I125 &gt;=7,NOT(_xlfn.IFNA(ISNUMBER(SEARCH("Rending",$L125)),FALSE))), 0, AC$24-$I125 =7, (7-(AC$24-1-$I125))/6, AC$24-$I125 =8, (7-(AC$24-2-$I125))/6*2/3, AC$24-$I125 =9, (7-(AC$24-3-$I125))/6*1/3, TRUE, 0)) *
IF(ISNUMBER(SEARCH("Ordinance",$L125)),7/6,1) *
IF(OR(ISNUMBER(SEARCH("Melee",$L125)),ISNUMBER(SEARCH("Bypass",$L125))),1.5,1)</f>
        <v>0</v>
      </c>
      <c r="AD125" s="17" cm="1">
        <f t="array" ref="AD125">$H125 *
IF(ISNUMBER(SEARCH("Rapid",$L125)),7/6,1) *
IF(OR(ISNUMBER(SEARCH("Beam",$L125)),ISNUMBER(SEARCH("Firestorm",$L125))),1, IF(ISNUMBER(SEARCH("Blast",$L125)),(4+$F125+(2-$F125)*0.5)/6*2,(4+$F125)/6)) *
IF(ISNUMBER(SEARCH("Fusion",$L125)), _xlfn.IFS(AD$24-$I125 &lt;=1, 9/10, AD$24-$I125 &lt;=10,(11-(AD$24-$I125))/10, AD$24-$I125 &gt;=11, 0),
_xlfn.IFS(AD$24-$I125 &lt;=1, 5/6, AD$24-$I125 &lt;=5, (7-(AD$24-$I125))/6, AND(AD$24-$I125 =6,NOT(_xlfn.IFNA(ISNUMBER(SEARCH("Rending",$L125)),FALSE))), (7-(AD$24-$I125))/6, AND(AD$24-$I125 &gt;=7,NOT(_xlfn.IFNA(ISNUMBER(SEARCH("Rending",$L125)),FALSE))), 0, AD$24-$I125 =7, (7-(AD$24-1-$I125))/6, AD$24-$I125 =8, (7-(AD$24-2-$I125))/6*2/3, AD$24-$I125 =9, (7-(AD$24-3-$I125))/6*1/3, TRUE, 0)) *
IF(ISNUMBER(SEARCH("Ordinance",$L125)),7/6,1) *
IF(OR(ISNUMBER(SEARCH("Melee",$L125)),ISNUMBER(SEARCH("Bypass",$L125))),1.5,1)</f>
        <v>0</v>
      </c>
      <c r="AE125" s="17" cm="1">
        <f t="array" ref="AE125">$H125 *
IF(ISNUMBER(SEARCH("Rapid",$L125)),7/6,1) *
IF(OR(ISNUMBER(SEARCH("Beam",$L125)),ISNUMBER(SEARCH("Firestorm",$L125))),1, IF(ISNUMBER(SEARCH("Blast",$L125)),(4+$F125+(2-$F125)*0.5)/6*2,(4+$F125)/6)) *
IF(ISNUMBER(SEARCH("Fusion",$L125)), _xlfn.IFS(AE$24-$I125 &lt;=1, 9/10, AE$24-$I125 &lt;=10,(11-(AE$24-$I125))/10, AE$24-$I125 &gt;=11, 0),
_xlfn.IFS(AE$24-$I125 &lt;=1, 5/6, AE$24-$I125 &lt;=5, (7-(AE$24-$I125))/6, AND(AE$24-$I125 =6,NOT(_xlfn.IFNA(ISNUMBER(SEARCH("Rending",$L125)),FALSE))), (7-(AE$24-$I125))/6, AND(AE$24-$I125 &gt;=7,NOT(_xlfn.IFNA(ISNUMBER(SEARCH("Rending",$L125)),FALSE))), 0, AE$24-$I125 =7, (7-(AE$24-1-$I125))/6, AE$24-$I125 =8, (7-(AE$24-2-$I125))/6*2/3, AE$24-$I125 =9, (7-(AE$24-3-$I125))/6*1/3, TRUE, 0)) *
IF(ISNUMBER(SEARCH("Ordinance",$L125)),7/6,1) *
IF(OR(ISNUMBER(SEARCH("Melee",$L125)),ISNUMBER(SEARCH("Bypass",$L125))),1.5,1)</f>
        <v>0</v>
      </c>
      <c r="AF125" s="17" cm="1">
        <f t="array" ref="AF125">$H125 *
IF(ISNUMBER(SEARCH("Rapid",$L125)),7/6,1) *
IF(OR(ISNUMBER(SEARCH("Beam",$L125)),ISNUMBER(SEARCH("Firestorm",$L125))),1, IF(ISNUMBER(SEARCH("Blast",$L125)),(4+$F125+(2-$F125)*0.5)/6*2,(4+$F125)/6)) *
IF(ISNUMBER(SEARCH("Fusion",$L125)), _xlfn.IFS(AF$24-$I125 &lt;=1, 9/10, AF$24-$I125 &lt;=10,(11-(AF$24-$I125))/10, AF$24-$I125 &gt;=11, 0),
_xlfn.IFS(AF$24-$I125 &lt;=1, 5/6, AF$24-$I125 &lt;=5, (7-(AF$24-$I125))/6, AND(AF$24-$I125 =6,NOT(_xlfn.IFNA(ISNUMBER(SEARCH("Rending",$L125)),FALSE))), (7-(AF$24-$I125))/6, AND(AF$24-$I125 &gt;=7,NOT(_xlfn.IFNA(ISNUMBER(SEARCH("Rending",$L125)),FALSE))), 0, AF$24-$I125 =7, (7-(AF$24-1-$I125))/6, AF$24-$I125 =8, (7-(AF$24-2-$I125))/6*2/3, AF$24-$I125 =9, (7-(AF$24-3-$I125))/6*1/3, TRUE, 0)) *
IF(ISNUMBER(SEARCH("Ordinance",$L125)),7/6,1) *
IF(OR(ISNUMBER(SEARCH("Melee",$L125)),ISNUMBER(SEARCH("Bypass",$L125))),1.5,1)</f>
        <v>0</v>
      </c>
      <c r="AG125" s="16">
        <f t="shared" si="22"/>
        <v>0</v>
      </c>
      <c r="AH125" s="16">
        <f t="shared" si="23"/>
        <v>0</v>
      </c>
      <c r="AI125" s="17" cm="1">
        <f t="array" ref="AI125">$H125 *
IF(ISNUMBER(SEARCH("Rapid",$L125)),7/6,1) *
IF(OR(ISNUMBER(SEARCH("Beam",$L125)),ISNUMBER(SEARCH("Firestorm",$L125))),1, IF(ISNUMBER(SEARCH("Blast",$L125)),(4+$G125+(2-$G125)*0.5)/6*2,(4+$G125)/6)) *
_xlfn.IFS(AI$24-$I125 &lt;=1, 5/6, AI$24-$I125 &lt;=5, (7-(AI$24-$I125))/6, AND(AI$24-$I125 =6,NOT(_xlfn.IFNA(ISNUMBER(SEARCH("Rending",$L125)),FALSE))), (7-(AI$24-$I125))/6, AND(AI$24-$I125 &gt;=7,NOT(_xlfn.IFNA(ISNUMBER(SEARCH("Rending",$L125)),FALSE))), 0, AI$24-$I125 =7, (7-(AI$24-1-$I125))/6, AI$24-$I125 =8, (7-(AI$24-2-$I125))/6*2/3, AI$24-$I125 =9, (7-(AI$24-3-$I125))/6*1/3, TRUE, 0) *
IF(ISNUMBER(SEARCH("Ordinance",$L125)),7/6,1) *
IF(OR(ISNUMBER(SEARCH("Melee",$L125)),ISNUMBER(SEARCH("Bypass",$L125))),1.5,1)</f>
        <v>0</v>
      </c>
      <c r="AJ125" s="17" cm="1">
        <f t="array" ref="AJ125">$H125 *
IF(ISNUMBER(SEARCH("Rapid",$L125)),7/6,1) *
IF(OR(ISNUMBER(SEARCH("Beam",$L125)),ISNUMBER(SEARCH("Firestorm",$L125))),1, IF(ISNUMBER(SEARCH("Blast",$L125)),(4+$G125+(2-$G125)*0.5)/6*2,(4+$G125)/6)) *
_xlfn.IFS(AJ$24-$I125 &lt;=1, 5/6, AJ$24-$I125 &lt;=5, (7-(AJ$24-$I125))/6, AND(AJ$24-$I125 =6,NOT(_xlfn.IFNA(ISNUMBER(SEARCH("Rending",$L125)),FALSE))), (7-(AJ$24-$I125))/6, AND(AJ$24-$I125 &gt;=7,NOT(_xlfn.IFNA(ISNUMBER(SEARCH("Rending",$L125)),FALSE))), 0, AJ$24-$I125 =7, (7-(AJ$24-1-$I125))/6, AJ$24-$I125 =8, (7-(AJ$24-2-$I125))/6*2/3, AJ$24-$I125 =9, (7-(AJ$24-3-$I125))/6*1/3, TRUE, 0) *
IF(ISNUMBER(SEARCH("Ordinance",$L125)),7/6,1) *
IF(OR(ISNUMBER(SEARCH("Melee",$L125)),ISNUMBER(SEARCH("Bypass",$L125))),1.5,1)</f>
        <v>0</v>
      </c>
      <c r="AK125" s="17" cm="1">
        <f t="array" ref="AK125">$H125 *
IF(ISNUMBER(SEARCH("Rapid",$L125)),7/6,1) *
IF(OR(ISNUMBER(SEARCH("Beam",$L125)),ISNUMBER(SEARCH("Firestorm",$L125))),1, IF(ISNUMBER(SEARCH("Blast",$L125)),(4+$G125+(2-$G125)*0.5)/6*2,(4+$G125)/6)) *
_xlfn.IFS(AK$24-$I125 &lt;=1, 5/6, AK$24-$I125 &lt;=5, (7-(AK$24-$I125))/6, AND(AK$24-$I125 =6,NOT(_xlfn.IFNA(ISNUMBER(SEARCH("Rending",$L125)),FALSE))), (7-(AK$24-$I125))/6, AND(AK$24-$I125 &gt;=7,NOT(_xlfn.IFNA(ISNUMBER(SEARCH("Rending",$L125)),FALSE))), 0, AK$24-$I125 =7, (7-(AK$24-1-$I125))/6, AK$24-$I125 =8, (7-(AK$24-2-$I125))/6*2/3, AK$24-$I125 =9, (7-(AK$24-3-$I125))/6*1/3, TRUE, 0) *
IF(ISNUMBER(SEARCH("Ordinance",$L125)),7/6,1) *
IF(OR(ISNUMBER(SEARCH("Melee",$L125)),ISNUMBER(SEARCH("Bypass",$L125))),1.5,1)</f>
        <v>0</v>
      </c>
      <c r="AL125" s="17" cm="1">
        <f t="array" ref="AL125">$H125 *
IF(ISNUMBER(SEARCH("Rapid",$L125)),7/6,1) *
IF(OR(ISNUMBER(SEARCH("Beam",$L125)),ISNUMBER(SEARCH("Firestorm",$L125))),1, IF(ISNUMBER(SEARCH("Blast",$L125)),(4+$G125+(2-$G125)*0.5)/6*2,(4+$G125)/6)) *
_xlfn.IFS(AL$24-$I125 &lt;=1, 5/6, AL$24-$I125 &lt;=5, (7-(AL$24-$I125))/6, AND(AL$24-$I125 =6,NOT(_xlfn.IFNA(ISNUMBER(SEARCH("Rending",$L125)),FALSE))), (7-(AL$24-$I125))/6, AND(AL$24-$I125 &gt;=7,NOT(_xlfn.IFNA(ISNUMBER(SEARCH("Rending",$L125)),FALSE))), 0, AL$24-$I125 =7, (7-(AL$24-1-$I125))/6, AL$24-$I125 =8, (7-(AL$24-2-$I125))/6*2/3, AL$24-$I125 =9, (7-(AL$24-3-$I125))/6*1/3, TRUE, 0) *
IF(ISNUMBER(SEARCH("Ordinance",$L125)),7/6,1) *
IF(OR(ISNUMBER(SEARCH("Melee",$L125)),ISNUMBER(SEARCH("Bypass",$L125))),1.5,1)</f>
        <v>0</v>
      </c>
      <c r="AM125" s="17" cm="1">
        <f t="array" ref="AM125">$H125 *
IF(ISNUMBER(SEARCH("Rapid",$L125)),7/6,1) *
IF(OR(ISNUMBER(SEARCH("Beam",$L125)),ISNUMBER(SEARCH("Firestorm",$L125))),1, IF(ISNUMBER(SEARCH("Blast",$L125)),(4+$G125+(2-$G125)*0.5)/6*2,(4+$G125)/6)) *
_xlfn.IFS(AM$24-$I125 &lt;=1, 5/6, AM$24-$I125 &lt;=5, (7-(AM$24-$I125))/6, AND(AM$24-$I125 =6,NOT(_xlfn.IFNA(ISNUMBER(SEARCH("Rending",$L125)),FALSE))), (7-(AM$24-$I125))/6, AND(AM$24-$I125 &gt;=7,NOT(_xlfn.IFNA(ISNUMBER(SEARCH("Rending",$L125)),FALSE))), 0, AM$24-$I125 =7, (7-(AM$24-1-$I125))/6, AM$24-$I125 =8, (7-(AM$24-2-$I125))/6*2/3, AM$24-$I125 =9, (7-(AM$24-3-$I125))/6*1/3, TRUE, 0) *
IF(ISNUMBER(SEARCH("Ordinance",$L125)),7/6,1) *
IF(OR(ISNUMBER(SEARCH("Melee",$L125)),ISNUMBER(SEARCH("Bypass",$L125))),1.5,1)</f>
        <v>0</v>
      </c>
      <c r="AN125" s="17" cm="1">
        <f t="array" ref="AN125">$H125 *
IF(ISNUMBER(SEARCH("Rapid",$L125)),7/6,1) *
IF(OR(ISNUMBER(SEARCH("Beam",$L125)),ISNUMBER(SEARCH("Firestorm",$L125))),1, IF(ISNUMBER(SEARCH("Blast",$L125)),(4+$G125+(2-$G125)*0.5)/6*2,(4+$G125)/6)) *
_xlfn.IFS(AN$24-$I125 &lt;=1, 5/6, AN$24-$I125 &lt;=5, (7-(AN$24-$I125))/6, AND(AN$24-$I125 =6,NOT(_xlfn.IFNA(ISNUMBER(SEARCH("Rending",$L125)),FALSE))), (7-(AN$24-$I125))/6, AND(AN$24-$I125 &gt;=7,NOT(_xlfn.IFNA(ISNUMBER(SEARCH("Rending",$L125)),FALSE))), 0, AN$24-$I125 =7, (7-(AN$24-1-$I125))/6, AN$24-$I125 =8, (7-(AN$24-2-$I125))/6*2/3, AN$24-$I125 =9, (7-(AN$24-3-$I125))/6*1/3, TRUE, 0) *
IF(ISNUMBER(SEARCH("Ordinance",$L125)),7/6,1) *
IF(OR(ISNUMBER(SEARCH("Melee",$L125)),ISNUMBER(SEARCH("Bypass",$L125))),1.5,1)</f>
        <v>0</v>
      </c>
      <c r="AO125" s="17" cm="1">
        <f t="array" ref="AO125">$H125 *
IF(ISNUMBER(SEARCH("Rapid",$L125)),7/6,1) *
IF(OR(ISNUMBER(SEARCH("Beam",$L125)),ISNUMBER(SEARCH("Firestorm",$L125))),1, IF(ISNUMBER(SEARCH("Blast",$L125)),(4+$G125+(2-$G125)*0.5)/6*2,(4+$G125)/6)) *
_xlfn.IFS(AO$24-$I125 &lt;=1, 5/6, AO$24-$I125 &lt;=5, (7-(AO$24-$I125))/6, AND(AO$24-$I125 =6,NOT(_xlfn.IFNA(ISNUMBER(SEARCH("Rending",$L125)),FALSE))), (7-(AO$24-$I125))/6, AND(AO$24-$I125 &gt;=7,NOT(_xlfn.IFNA(ISNUMBER(SEARCH("Rending",$L125)),FALSE))), 0, AO$24-$I125 =7, (7-(AO$24-1-$I125))/6, AO$24-$I125 =8, (7-(AO$24-2-$I125))/6*2/3, AO$24-$I125 =9, (7-(AO$24-3-$I125))/6*1/3, TRUE, 0) *
IF(ISNUMBER(SEARCH("Ordinance",$L125)),7/6,1) *
IF(OR(ISNUMBER(SEARCH("Melee",$L125)),ISNUMBER(SEARCH("Bypass",$L125))),1.5,1)</f>
        <v>0</v>
      </c>
      <c r="AP125" s="17" cm="1">
        <f t="array" ref="AP125">$H125 *
IF(ISNUMBER(SEARCH("Rapid",$L125)),7/6,1) *
IF(OR(ISNUMBER(SEARCH("Beam",$L125)),ISNUMBER(SEARCH("Firestorm",$L125))),1, IF(ISNUMBER(SEARCH("Blast",$L125)),(4+$G125+(2-$G125)*0.5)/6*2,(4+$G125)/6)) *
_xlfn.IFS(AP$24-$I125 &lt;=1, 5/6, AP$24-$I125 &lt;=5, (7-(AP$24-$I125))/6, AND(AP$24-$I125 =6,NOT(_xlfn.IFNA(ISNUMBER(SEARCH("Rending",$L125)),FALSE))), (7-(AP$24-$I125))/6, AND(AP$24-$I125 &gt;=7,NOT(_xlfn.IFNA(ISNUMBER(SEARCH("Rending",$L125)),FALSE))), 0, AP$24-$I125 =7, (7-(AP$24-1-$I125))/6, AP$24-$I125 =8, (7-(AP$24-2-$I125))/6*2/3, AP$24-$I125 =9, (7-(AP$24-3-$I125))/6*1/3, TRUE, 0) *
IF(ISNUMBER(SEARCH("Ordinance",$L125)),7/6,1) *
IF(OR(ISNUMBER(SEARCH("Melee",$L125)),ISNUMBER(SEARCH("Bypass",$L125))),1.5,1)</f>
        <v>0</v>
      </c>
      <c r="AQ125" s="17" cm="1">
        <f t="array" ref="AQ125">$H125 *
IF(ISNUMBER(SEARCH("Rapid",$L125)),7/6,1) *
IF(OR(ISNUMBER(SEARCH("Beam",$L125)),ISNUMBER(SEARCH("Firestorm",$L125))),1, IF(ISNUMBER(SEARCH("Blast",$L125)),(4+$G125+(2-$G125)*0.5)/6*2,(4+$G125)/6)) *
_xlfn.IFS(AQ$24-$I125 &lt;=1, 5/6, AQ$24-$I125 &lt;=5, (7-(AQ$24-$I125))/6, AND(AQ$24-$I125 =6,NOT(_xlfn.IFNA(ISNUMBER(SEARCH("Rending",$L125)),FALSE))), (7-(AQ$24-$I125))/6, AND(AQ$24-$I125 &gt;=7,NOT(_xlfn.IFNA(ISNUMBER(SEARCH("Rending",$L125)),FALSE))), 0, AQ$24-$I125 =7, (7-(AQ$24-1-$I125))/6, AQ$24-$I125 =8, (7-(AQ$24-2-$I125))/6*2/3, AQ$24-$I125 =9, (7-(AQ$24-3-$I125))/6*1/3, TRUE, 0) *
IF(ISNUMBER(SEARCH("Ordinance",$L125)),7/6,1) *
IF(OR(ISNUMBER(SEARCH("Melee",$L125)),ISNUMBER(SEARCH("Bypass",$L125))),1.5,1)</f>
        <v>0</v>
      </c>
    </row>
    <row r="126" spans="1:48" x14ac:dyDescent="0.3">
      <c r="A126" s="6" t="s">
        <v>469</v>
      </c>
      <c r="F126" s="10"/>
      <c r="G126" s="10"/>
      <c r="V126" s="16">
        <f t="shared" si="20"/>
        <v>0</v>
      </c>
      <c r="W126" s="16">
        <f t="shared" si="21"/>
        <v>0</v>
      </c>
      <c r="X126" s="17" cm="1">
        <f t="array" ref="X126">$H126 *
IF(ISNUMBER(SEARCH("Rapid",$L126)),7/6,1) *
IF(OR(ISNUMBER(SEARCH("Beam",$L126)),ISNUMBER(SEARCH("Firestorm",$L126))),1, IF(ISNUMBER(SEARCH("Blast",$L126)),(4+$F126+(2-$F126)*0.5)/6*2,(4+$F126)/6)) *
IF(ISNUMBER(SEARCH("Fusion",$L126)), _xlfn.IFS(X$24-$I126 &lt;=1, 9/10, X$24-$I126 &lt;=10,(11-(X$24-$I126))/10, X$24-$I126 &gt;=11, 0),
_xlfn.IFS(X$24-$I126 &lt;=1, 5/6, X$24-$I126 &lt;=5, (7-(X$24-$I126))/6, AND(X$24-$I126 =6,NOT(_xlfn.IFNA(ISNUMBER(SEARCH("Rending",$L126)),FALSE))), (7-(X$24-$I126))/6, AND(X$24-$I126 &gt;=7,NOT(_xlfn.IFNA(ISNUMBER(SEARCH("Rending",$L126)),FALSE))), 0, X$24-$I126 =7, (7-(X$24-1-$I126))/6, X$24-$I126 =8, (7-(X$24-2-$I126))/6*2/3, X$24-$I126 =9, (7-(X$24-3-$I126))/6*1/3, TRUE, 0)) *
IF(ISNUMBER(SEARCH("Ordinance",$L126)),7/6,1) *
IF(OR(ISNUMBER(SEARCH("Melee",$L126)),ISNUMBER(SEARCH("Bypass",$L126))),1.5,1)</f>
        <v>0</v>
      </c>
      <c r="Y126" s="17" cm="1">
        <f t="array" ref="Y126">$H126 *
IF(ISNUMBER(SEARCH("Rapid",$L126)),7/6,1) *
IF(OR(ISNUMBER(SEARCH("Beam",$L126)),ISNUMBER(SEARCH("Firestorm",$L126))),1, IF(ISNUMBER(SEARCH("Blast",$L126)),(4+$F126+(2-$F126)*0.5)/6*2,(4+$F126)/6)) *
IF(ISNUMBER(SEARCH("Fusion",$L126)), _xlfn.IFS(Y$24-$I126 &lt;=1, 9/10, Y$24-$I126 &lt;=10,(11-(Y$24-$I126))/10, Y$24-$I126 &gt;=11, 0),
_xlfn.IFS(Y$24-$I126 &lt;=1, 5/6, Y$24-$I126 &lt;=5, (7-(Y$24-$I126))/6, AND(Y$24-$I126 =6,NOT(_xlfn.IFNA(ISNUMBER(SEARCH("Rending",$L126)),FALSE))), (7-(Y$24-$I126))/6, AND(Y$24-$I126 &gt;=7,NOT(_xlfn.IFNA(ISNUMBER(SEARCH("Rending",$L126)),FALSE))), 0, Y$24-$I126 =7, (7-(Y$24-1-$I126))/6, Y$24-$I126 =8, (7-(Y$24-2-$I126))/6*2/3, Y$24-$I126 =9, (7-(Y$24-3-$I126))/6*1/3, TRUE, 0)) *
IF(ISNUMBER(SEARCH("Ordinance",$L126)),7/6,1) *
IF(OR(ISNUMBER(SEARCH("Melee",$L126)),ISNUMBER(SEARCH("Bypass",$L126))),1.5,1)</f>
        <v>0</v>
      </c>
      <c r="Z126" s="17" cm="1">
        <f t="array" ref="Z126">$H126 *
IF(ISNUMBER(SEARCH("Rapid",$L126)),7/6,1) *
IF(OR(ISNUMBER(SEARCH("Beam",$L126)),ISNUMBER(SEARCH("Firestorm",$L126))),1, IF(ISNUMBER(SEARCH("Blast",$L126)),(4+$F126+(2-$F126)*0.5)/6*2,(4+$F126)/6)) *
IF(ISNUMBER(SEARCH("Fusion",$L126)), _xlfn.IFS(Z$24-$I126 &lt;=1, 9/10, Z$24-$I126 &lt;=10,(11-(Z$24-$I126))/10, Z$24-$I126 &gt;=11, 0),
_xlfn.IFS(Z$24-$I126 &lt;=1, 5/6, Z$24-$I126 &lt;=5, (7-(Z$24-$I126))/6, AND(Z$24-$I126 =6,NOT(_xlfn.IFNA(ISNUMBER(SEARCH("Rending",$L126)),FALSE))), (7-(Z$24-$I126))/6, AND(Z$24-$I126 &gt;=7,NOT(_xlfn.IFNA(ISNUMBER(SEARCH("Rending",$L126)),FALSE))), 0, Z$24-$I126 =7, (7-(Z$24-1-$I126))/6, Z$24-$I126 =8, (7-(Z$24-2-$I126))/6*2/3, Z$24-$I126 =9, (7-(Z$24-3-$I126))/6*1/3, TRUE, 0)) *
IF(ISNUMBER(SEARCH("Ordinance",$L126)),7/6,1) *
IF(OR(ISNUMBER(SEARCH("Melee",$L126)),ISNUMBER(SEARCH("Bypass",$L126))),1.5,1)</f>
        <v>0</v>
      </c>
      <c r="AA126" s="17" cm="1">
        <f t="array" ref="AA126">$H126 *
IF(ISNUMBER(SEARCH("Rapid",$L126)),7/6,1) *
IF(OR(ISNUMBER(SEARCH("Beam",$L126)),ISNUMBER(SEARCH("Firestorm",$L126))),1, IF(ISNUMBER(SEARCH("Blast",$L126)),(4+$F126+(2-$F126)*0.5)/6*2,(4+$F126)/6)) *
IF(ISNUMBER(SEARCH("Fusion",$L126)), _xlfn.IFS(AA$24-$I126 &lt;=1, 9/10, AA$24-$I126 &lt;=10,(11-(AA$24-$I126))/10, AA$24-$I126 &gt;=11, 0),
_xlfn.IFS(AA$24-$I126 &lt;=1, 5/6, AA$24-$I126 &lt;=5, (7-(AA$24-$I126))/6, AND(AA$24-$I126 =6,NOT(_xlfn.IFNA(ISNUMBER(SEARCH("Rending",$L126)),FALSE))), (7-(AA$24-$I126))/6, AND(AA$24-$I126 &gt;=7,NOT(_xlfn.IFNA(ISNUMBER(SEARCH("Rending",$L126)),FALSE))), 0, AA$24-$I126 =7, (7-(AA$24-1-$I126))/6, AA$24-$I126 =8, (7-(AA$24-2-$I126))/6*2/3, AA$24-$I126 =9, (7-(AA$24-3-$I126))/6*1/3, TRUE, 0)) *
IF(ISNUMBER(SEARCH("Ordinance",$L126)),7/6,1) *
IF(OR(ISNUMBER(SEARCH("Melee",$L126)),ISNUMBER(SEARCH("Bypass",$L126))),1.5,1)</f>
        <v>0</v>
      </c>
      <c r="AB126" s="17" cm="1">
        <f t="array" ref="AB126">$H126 *
IF(ISNUMBER(SEARCH("Rapid",$L126)),7/6,1) *
IF(OR(ISNUMBER(SEARCH("Beam",$L126)),ISNUMBER(SEARCH("Firestorm",$L126))),1, IF(ISNUMBER(SEARCH("Blast",$L126)),(4+$F126+(2-$F126)*0.5)/6*2,(4+$F126)/6)) *
IF(ISNUMBER(SEARCH("Fusion",$L126)), _xlfn.IFS(AB$24-$I126 &lt;=1, 9/10, AB$24-$I126 &lt;=10,(11-(AB$24-$I126))/10, AB$24-$I126 &gt;=11, 0),
_xlfn.IFS(AB$24-$I126 &lt;=1, 5/6, AB$24-$I126 &lt;=5, (7-(AB$24-$I126))/6, AND(AB$24-$I126 =6,NOT(_xlfn.IFNA(ISNUMBER(SEARCH("Rending",$L126)),FALSE))), (7-(AB$24-$I126))/6, AND(AB$24-$I126 &gt;=7,NOT(_xlfn.IFNA(ISNUMBER(SEARCH("Rending",$L126)),FALSE))), 0, AB$24-$I126 =7, (7-(AB$24-1-$I126))/6, AB$24-$I126 =8, (7-(AB$24-2-$I126))/6*2/3, AB$24-$I126 =9, (7-(AB$24-3-$I126))/6*1/3, TRUE, 0)) *
IF(ISNUMBER(SEARCH("Ordinance",$L126)),7/6,1) *
IF(OR(ISNUMBER(SEARCH("Melee",$L126)),ISNUMBER(SEARCH("Bypass",$L126))),1.5,1)</f>
        <v>0</v>
      </c>
      <c r="AC126" s="17" cm="1">
        <f t="array" ref="AC126">$H126 *
IF(ISNUMBER(SEARCH("Rapid",$L126)),7/6,1) *
IF(OR(ISNUMBER(SEARCH("Beam",$L126)),ISNUMBER(SEARCH("Firestorm",$L126))),1, IF(ISNUMBER(SEARCH("Blast",$L126)),(4+$F126+(2-$F126)*0.5)/6*2,(4+$F126)/6)) *
IF(ISNUMBER(SEARCH("Fusion",$L126)), _xlfn.IFS(AC$24-$I126 &lt;=1, 9/10, AC$24-$I126 &lt;=10,(11-(AC$24-$I126))/10, AC$24-$I126 &gt;=11, 0),
_xlfn.IFS(AC$24-$I126 &lt;=1, 5/6, AC$24-$I126 &lt;=5, (7-(AC$24-$I126))/6, AND(AC$24-$I126 =6,NOT(_xlfn.IFNA(ISNUMBER(SEARCH("Rending",$L126)),FALSE))), (7-(AC$24-$I126))/6, AND(AC$24-$I126 &gt;=7,NOT(_xlfn.IFNA(ISNUMBER(SEARCH("Rending",$L126)),FALSE))), 0, AC$24-$I126 =7, (7-(AC$24-1-$I126))/6, AC$24-$I126 =8, (7-(AC$24-2-$I126))/6*2/3, AC$24-$I126 =9, (7-(AC$24-3-$I126))/6*1/3, TRUE, 0)) *
IF(ISNUMBER(SEARCH("Ordinance",$L126)),7/6,1) *
IF(OR(ISNUMBER(SEARCH("Melee",$L126)),ISNUMBER(SEARCH("Bypass",$L126))),1.5,1)</f>
        <v>0</v>
      </c>
      <c r="AD126" s="17" cm="1">
        <f t="array" ref="AD126">$H126 *
IF(ISNUMBER(SEARCH("Rapid",$L126)),7/6,1) *
IF(OR(ISNUMBER(SEARCH("Beam",$L126)),ISNUMBER(SEARCH("Firestorm",$L126))),1, IF(ISNUMBER(SEARCH("Blast",$L126)),(4+$F126+(2-$F126)*0.5)/6*2,(4+$F126)/6)) *
IF(ISNUMBER(SEARCH("Fusion",$L126)), _xlfn.IFS(AD$24-$I126 &lt;=1, 9/10, AD$24-$I126 &lt;=10,(11-(AD$24-$I126))/10, AD$24-$I126 &gt;=11, 0),
_xlfn.IFS(AD$24-$I126 &lt;=1, 5/6, AD$24-$I126 &lt;=5, (7-(AD$24-$I126))/6, AND(AD$24-$I126 =6,NOT(_xlfn.IFNA(ISNUMBER(SEARCH("Rending",$L126)),FALSE))), (7-(AD$24-$I126))/6, AND(AD$24-$I126 &gt;=7,NOT(_xlfn.IFNA(ISNUMBER(SEARCH("Rending",$L126)),FALSE))), 0, AD$24-$I126 =7, (7-(AD$24-1-$I126))/6, AD$24-$I126 =8, (7-(AD$24-2-$I126))/6*2/3, AD$24-$I126 =9, (7-(AD$24-3-$I126))/6*1/3, TRUE, 0)) *
IF(ISNUMBER(SEARCH("Ordinance",$L126)),7/6,1) *
IF(OR(ISNUMBER(SEARCH("Melee",$L126)),ISNUMBER(SEARCH("Bypass",$L126))),1.5,1)</f>
        <v>0</v>
      </c>
      <c r="AE126" s="17" cm="1">
        <f t="array" ref="AE126">$H126 *
IF(ISNUMBER(SEARCH("Rapid",$L126)),7/6,1) *
IF(OR(ISNUMBER(SEARCH("Beam",$L126)),ISNUMBER(SEARCH("Firestorm",$L126))),1, IF(ISNUMBER(SEARCH("Blast",$L126)),(4+$F126+(2-$F126)*0.5)/6*2,(4+$F126)/6)) *
IF(ISNUMBER(SEARCH("Fusion",$L126)), _xlfn.IFS(AE$24-$I126 &lt;=1, 9/10, AE$24-$I126 &lt;=10,(11-(AE$24-$I126))/10, AE$24-$I126 &gt;=11, 0),
_xlfn.IFS(AE$24-$I126 &lt;=1, 5/6, AE$24-$I126 &lt;=5, (7-(AE$24-$I126))/6, AND(AE$24-$I126 =6,NOT(_xlfn.IFNA(ISNUMBER(SEARCH("Rending",$L126)),FALSE))), (7-(AE$24-$I126))/6, AND(AE$24-$I126 &gt;=7,NOT(_xlfn.IFNA(ISNUMBER(SEARCH("Rending",$L126)),FALSE))), 0, AE$24-$I126 =7, (7-(AE$24-1-$I126))/6, AE$24-$I126 =8, (7-(AE$24-2-$I126))/6*2/3, AE$24-$I126 =9, (7-(AE$24-3-$I126))/6*1/3, TRUE, 0)) *
IF(ISNUMBER(SEARCH("Ordinance",$L126)),7/6,1) *
IF(OR(ISNUMBER(SEARCH("Melee",$L126)),ISNUMBER(SEARCH("Bypass",$L126))),1.5,1)</f>
        <v>0</v>
      </c>
      <c r="AF126" s="17" cm="1">
        <f t="array" ref="AF126">$H126 *
IF(ISNUMBER(SEARCH("Rapid",$L126)),7/6,1) *
IF(OR(ISNUMBER(SEARCH("Beam",$L126)),ISNUMBER(SEARCH("Firestorm",$L126))),1, IF(ISNUMBER(SEARCH("Blast",$L126)),(4+$F126+(2-$F126)*0.5)/6*2,(4+$F126)/6)) *
IF(ISNUMBER(SEARCH("Fusion",$L126)), _xlfn.IFS(AF$24-$I126 &lt;=1, 9/10, AF$24-$I126 &lt;=10,(11-(AF$24-$I126))/10, AF$24-$I126 &gt;=11, 0),
_xlfn.IFS(AF$24-$I126 &lt;=1, 5/6, AF$24-$I126 &lt;=5, (7-(AF$24-$I126))/6, AND(AF$24-$I126 =6,NOT(_xlfn.IFNA(ISNUMBER(SEARCH("Rending",$L126)),FALSE))), (7-(AF$24-$I126))/6, AND(AF$24-$I126 &gt;=7,NOT(_xlfn.IFNA(ISNUMBER(SEARCH("Rending",$L126)),FALSE))), 0, AF$24-$I126 =7, (7-(AF$24-1-$I126))/6, AF$24-$I126 =8, (7-(AF$24-2-$I126))/6*2/3, AF$24-$I126 =9, (7-(AF$24-3-$I126))/6*1/3, TRUE, 0)) *
IF(ISNUMBER(SEARCH("Ordinance",$L126)),7/6,1) *
IF(OR(ISNUMBER(SEARCH("Melee",$L126)),ISNUMBER(SEARCH("Bypass",$L126))),1.5,1)</f>
        <v>0</v>
      </c>
      <c r="AG126" s="16">
        <f t="shared" si="22"/>
        <v>0</v>
      </c>
      <c r="AH126" s="16">
        <f t="shared" si="23"/>
        <v>0</v>
      </c>
      <c r="AI126" s="17" cm="1">
        <f t="array" ref="AI126">$H126 *
IF(ISNUMBER(SEARCH("Rapid",$L126)),7/6,1) *
IF(OR(ISNUMBER(SEARCH("Beam",$L126)),ISNUMBER(SEARCH("Firestorm",$L126))),1, IF(ISNUMBER(SEARCH("Blast",$L126)),(4+$G126+(2-$G126)*0.5)/6*2,(4+$G126)/6)) *
_xlfn.IFS(AI$24-$I126 &lt;=1, 5/6, AI$24-$I126 &lt;=5, (7-(AI$24-$I126))/6, AND(AI$24-$I126 =6,NOT(_xlfn.IFNA(ISNUMBER(SEARCH("Rending",$L126)),FALSE))), (7-(AI$24-$I126))/6, AND(AI$24-$I126 &gt;=7,NOT(_xlfn.IFNA(ISNUMBER(SEARCH("Rending",$L126)),FALSE))), 0, AI$24-$I126 =7, (7-(AI$24-1-$I126))/6, AI$24-$I126 =8, (7-(AI$24-2-$I126))/6*2/3, AI$24-$I126 =9, (7-(AI$24-3-$I126))/6*1/3, TRUE, 0) *
IF(ISNUMBER(SEARCH("Ordinance",$L126)),7/6,1) *
IF(OR(ISNUMBER(SEARCH("Melee",$L126)),ISNUMBER(SEARCH("Bypass",$L126))),1.5,1)</f>
        <v>0</v>
      </c>
      <c r="AJ126" s="17" cm="1">
        <f t="array" ref="AJ126">$H126 *
IF(ISNUMBER(SEARCH("Rapid",$L126)),7/6,1) *
IF(OR(ISNUMBER(SEARCH("Beam",$L126)),ISNUMBER(SEARCH("Firestorm",$L126))),1, IF(ISNUMBER(SEARCH("Blast",$L126)),(4+$G126+(2-$G126)*0.5)/6*2,(4+$G126)/6)) *
_xlfn.IFS(AJ$24-$I126 &lt;=1, 5/6, AJ$24-$I126 &lt;=5, (7-(AJ$24-$I126))/6, AND(AJ$24-$I126 =6,NOT(_xlfn.IFNA(ISNUMBER(SEARCH("Rending",$L126)),FALSE))), (7-(AJ$24-$I126))/6, AND(AJ$24-$I126 &gt;=7,NOT(_xlfn.IFNA(ISNUMBER(SEARCH("Rending",$L126)),FALSE))), 0, AJ$24-$I126 =7, (7-(AJ$24-1-$I126))/6, AJ$24-$I126 =8, (7-(AJ$24-2-$I126))/6*2/3, AJ$24-$I126 =9, (7-(AJ$24-3-$I126))/6*1/3, TRUE, 0) *
IF(ISNUMBER(SEARCH("Ordinance",$L126)),7/6,1) *
IF(OR(ISNUMBER(SEARCH("Melee",$L126)),ISNUMBER(SEARCH("Bypass",$L126))),1.5,1)</f>
        <v>0</v>
      </c>
      <c r="AK126" s="17" cm="1">
        <f t="array" ref="AK126">$H126 *
IF(ISNUMBER(SEARCH("Rapid",$L126)),7/6,1) *
IF(OR(ISNUMBER(SEARCH("Beam",$L126)),ISNUMBER(SEARCH("Firestorm",$L126))),1, IF(ISNUMBER(SEARCH("Blast",$L126)),(4+$G126+(2-$G126)*0.5)/6*2,(4+$G126)/6)) *
_xlfn.IFS(AK$24-$I126 &lt;=1, 5/6, AK$24-$I126 &lt;=5, (7-(AK$24-$I126))/6, AND(AK$24-$I126 =6,NOT(_xlfn.IFNA(ISNUMBER(SEARCH("Rending",$L126)),FALSE))), (7-(AK$24-$I126))/6, AND(AK$24-$I126 &gt;=7,NOT(_xlfn.IFNA(ISNUMBER(SEARCH("Rending",$L126)),FALSE))), 0, AK$24-$I126 =7, (7-(AK$24-1-$I126))/6, AK$24-$I126 =8, (7-(AK$24-2-$I126))/6*2/3, AK$24-$I126 =9, (7-(AK$24-3-$I126))/6*1/3, TRUE, 0) *
IF(ISNUMBER(SEARCH("Ordinance",$L126)),7/6,1) *
IF(OR(ISNUMBER(SEARCH("Melee",$L126)),ISNUMBER(SEARCH("Bypass",$L126))),1.5,1)</f>
        <v>0</v>
      </c>
      <c r="AL126" s="17" cm="1">
        <f t="array" ref="AL126">$H126 *
IF(ISNUMBER(SEARCH("Rapid",$L126)),7/6,1) *
IF(OR(ISNUMBER(SEARCH("Beam",$L126)),ISNUMBER(SEARCH("Firestorm",$L126))),1, IF(ISNUMBER(SEARCH("Blast",$L126)),(4+$G126+(2-$G126)*0.5)/6*2,(4+$G126)/6)) *
_xlfn.IFS(AL$24-$I126 &lt;=1, 5/6, AL$24-$I126 &lt;=5, (7-(AL$24-$I126))/6, AND(AL$24-$I126 =6,NOT(_xlfn.IFNA(ISNUMBER(SEARCH("Rending",$L126)),FALSE))), (7-(AL$24-$I126))/6, AND(AL$24-$I126 &gt;=7,NOT(_xlfn.IFNA(ISNUMBER(SEARCH("Rending",$L126)),FALSE))), 0, AL$24-$I126 =7, (7-(AL$24-1-$I126))/6, AL$24-$I126 =8, (7-(AL$24-2-$I126))/6*2/3, AL$24-$I126 =9, (7-(AL$24-3-$I126))/6*1/3, TRUE, 0) *
IF(ISNUMBER(SEARCH("Ordinance",$L126)),7/6,1) *
IF(OR(ISNUMBER(SEARCH("Melee",$L126)),ISNUMBER(SEARCH("Bypass",$L126))),1.5,1)</f>
        <v>0</v>
      </c>
      <c r="AM126" s="17" cm="1">
        <f t="array" ref="AM126">$H126 *
IF(ISNUMBER(SEARCH("Rapid",$L126)),7/6,1) *
IF(OR(ISNUMBER(SEARCH("Beam",$L126)),ISNUMBER(SEARCH("Firestorm",$L126))),1, IF(ISNUMBER(SEARCH("Blast",$L126)),(4+$G126+(2-$G126)*0.5)/6*2,(4+$G126)/6)) *
_xlfn.IFS(AM$24-$I126 &lt;=1, 5/6, AM$24-$I126 &lt;=5, (7-(AM$24-$I126))/6, AND(AM$24-$I126 =6,NOT(_xlfn.IFNA(ISNUMBER(SEARCH("Rending",$L126)),FALSE))), (7-(AM$24-$I126))/6, AND(AM$24-$I126 &gt;=7,NOT(_xlfn.IFNA(ISNUMBER(SEARCH("Rending",$L126)),FALSE))), 0, AM$24-$I126 =7, (7-(AM$24-1-$I126))/6, AM$24-$I126 =8, (7-(AM$24-2-$I126))/6*2/3, AM$24-$I126 =9, (7-(AM$24-3-$I126))/6*1/3, TRUE, 0) *
IF(ISNUMBER(SEARCH("Ordinance",$L126)),7/6,1) *
IF(OR(ISNUMBER(SEARCH("Melee",$L126)),ISNUMBER(SEARCH("Bypass",$L126))),1.5,1)</f>
        <v>0</v>
      </c>
      <c r="AN126" s="17" cm="1">
        <f t="array" ref="AN126">$H126 *
IF(ISNUMBER(SEARCH("Rapid",$L126)),7/6,1) *
IF(OR(ISNUMBER(SEARCH("Beam",$L126)),ISNUMBER(SEARCH("Firestorm",$L126))),1, IF(ISNUMBER(SEARCH("Blast",$L126)),(4+$G126+(2-$G126)*0.5)/6*2,(4+$G126)/6)) *
_xlfn.IFS(AN$24-$I126 &lt;=1, 5/6, AN$24-$I126 &lt;=5, (7-(AN$24-$I126))/6, AND(AN$24-$I126 =6,NOT(_xlfn.IFNA(ISNUMBER(SEARCH("Rending",$L126)),FALSE))), (7-(AN$24-$I126))/6, AND(AN$24-$I126 &gt;=7,NOT(_xlfn.IFNA(ISNUMBER(SEARCH("Rending",$L126)),FALSE))), 0, AN$24-$I126 =7, (7-(AN$24-1-$I126))/6, AN$24-$I126 =8, (7-(AN$24-2-$I126))/6*2/3, AN$24-$I126 =9, (7-(AN$24-3-$I126))/6*1/3, TRUE, 0) *
IF(ISNUMBER(SEARCH("Ordinance",$L126)),7/6,1) *
IF(OR(ISNUMBER(SEARCH("Melee",$L126)),ISNUMBER(SEARCH("Bypass",$L126))),1.5,1)</f>
        <v>0</v>
      </c>
      <c r="AO126" s="17" cm="1">
        <f t="array" ref="AO126">$H126 *
IF(ISNUMBER(SEARCH("Rapid",$L126)),7/6,1) *
IF(OR(ISNUMBER(SEARCH("Beam",$L126)),ISNUMBER(SEARCH("Firestorm",$L126))),1, IF(ISNUMBER(SEARCH("Blast",$L126)),(4+$G126+(2-$G126)*0.5)/6*2,(4+$G126)/6)) *
_xlfn.IFS(AO$24-$I126 &lt;=1, 5/6, AO$24-$I126 &lt;=5, (7-(AO$24-$I126))/6, AND(AO$24-$I126 =6,NOT(_xlfn.IFNA(ISNUMBER(SEARCH("Rending",$L126)),FALSE))), (7-(AO$24-$I126))/6, AND(AO$24-$I126 &gt;=7,NOT(_xlfn.IFNA(ISNUMBER(SEARCH("Rending",$L126)),FALSE))), 0, AO$24-$I126 =7, (7-(AO$24-1-$I126))/6, AO$24-$I126 =8, (7-(AO$24-2-$I126))/6*2/3, AO$24-$I126 =9, (7-(AO$24-3-$I126))/6*1/3, TRUE, 0) *
IF(ISNUMBER(SEARCH("Ordinance",$L126)),7/6,1) *
IF(OR(ISNUMBER(SEARCH("Melee",$L126)),ISNUMBER(SEARCH("Bypass",$L126))),1.5,1)</f>
        <v>0</v>
      </c>
      <c r="AP126" s="17" cm="1">
        <f t="array" ref="AP126">$H126 *
IF(ISNUMBER(SEARCH("Rapid",$L126)),7/6,1) *
IF(OR(ISNUMBER(SEARCH("Beam",$L126)),ISNUMBER(SEARCH("Firestorm",$L126))),1, IF(ISNUMBER(SEARCH("Blast",$L126)),(4+$G126+(2-$G126)*0.5)/6*2,(4+$G126)/6)) *
_xlfn.IFS(AP$24-$I126 &lt;=1, 5/6, AP$24-$I126 &lt;=5, (7-(AP$24-$I126))/6, AND(AP$24-$I126 =6,NOT(_xlfn.IFNA(ISNUMBER(SEARCH("Rending",$L126)),FALSE))), (7-(AP$24-$I126))/6, AND(AP$24-$I126 &gt;=7,NOT(_xlfn.IFNA(ISNUMBER(SEARCH("Rending",$L126)),FALSE))), 0, AP$24-$I126 =7, (7-(AP$24-1-$I126))/6, AP$24-$I126 =8, (7-(AP$24-2-$I126))/6*2/3, AP$24-$I126 =9, (7-(AP$24-3-$I126))/6*1/3, TRUE, 0) *
IF(ISNUMBER(SEARCH("Ordinance",$L126)),7/6,1) *
IF(OR(ISNUMBER(SEARCH("Melee",$L126)),ISNUMBER(SEARCH("Bypass",$L126))),1.5,1)</f>
        <v>0</v>
      </c>
      <c r="AQ126" s="17" cm="1">
        <f t="array" ref="AQ126">$H126 *
IF(ISNUMBER(SEARCH("Rapid",$L126)),7/6,1) *
IF(OR(ISNUMBER(SEARCH("Beam",$L126)),ISNUMBER(SEARCH("Firestorm",$L126))),1, IF(ISNUMBER(SEARCH("Blast",$L126)),(4+$G126+(2-$G126)*0.5)/6*2,(4+$G126)/6)) *
_xlfn.IFS(AQ$24-$I126 &lt;=1, 5/6, AQ$24-$I126 &lt;=5, (7-(AQ$24-$I126))/6, AND(AQ$24-$I126 =6,NOT(_xlfn.IFNA(ISNUMBER(SEARCH("Rending",$L126)),FALSE))), (7-(AQ$24-$I126))/6, AND(AQ$24-$I126 &gt;=7,NOT(_xlfn.IFNA(ISNUMBER(SEARCH("Rending",$L126)),FALSE))), 0, AQ$24-$I126 =7, (7-(AQ$24-1-$I126))/6, AQ$24-$I126 =8, (7-(AQ$24-2-$I126))/6*2/3, AQ$24-$I126 =9, (7-(AQ$24-3-$I126))/6*1/3, TRUE, 0) *
IF(ISNUMBER(SEARCH("Ordinance",$L126)),7/6,1) *
IF(OR(ISNUMBER(SEARCH("Melee",$L126)),ISNUMBER(SEARCH("Bypass",$L126))),1.5,1)</f>
        <v>0</v>
      </c>
    </row>
    <row r="127" spans="1:48" x14ac:dyDescent="0.3">
      <c r="A127" t="s">
        <v>557</v>
      </c>
      <c r="B127" s="3">
        <v>16</v>
      </c>
      <c r="C127" s="3">
        <v>30</v>
      </c>
      <c r="D127" s="3">
        <v>1</v>
      </c>
      <c r="E127" s="3">
        <v>2</v>
      </c>
      <c r="F127" s="10">
        <v>1</v>
      </c>
      <c r="G127" s="10"/>
      <c r="H127" s="3">
        <v>3</v>
      </c>
      <c r="I127" s="3">
        <v>11</v>
      </c>
      <c r="J127" s="3" t="s">
        <v>558</v>
      </c>
      <c r="K127" s="3">
        <v>70</v>
      </c>
      <c r="L127" s="3" t="s">
        <v>559</v>
      </c>
      <c r="M127" s="3" t="s">
        <v>199</v>
      </c>
      <c r="N127" s="3">
        <v>12</v>
      </c>
      <c r="O127" s="3">
        <v>12</v>
      </c>
      <c r="P127" s="3">
        <v>16</v>
      </c>
      <c r="Q127" s="3" t="s">
        <v>200</v>
      </c>
      <c r="R127" s="3">
        <v>7</v>
      </c>
      <c r="S127" s="3">
        <v>9</v>
      </c>
      <c r="T127" s="3">
        <v>4</v>
      </c>
      <c r="V127" s="16">
        <f t="shared" si="20"/>
        <v>0.83333333333333326</v>
      </c>
      <c r="W127" s="16">
        <f t="shared" si="21"/>
        <v>1.25</v>
      </c>
      <c r="X127" s="17" cm="1">
        <f t="array" ref="X127">$H127 *
IF(ISNUMBER(SEARCH("Rapid",$L127)),7/6,1) *
IF(OR(ISNUMBER(SEARCH("Beam",$L127)),ISNUMBER(SEARCH("Firestorm",$L127))),1, IF(ISNUMBER(SEARCH("Blast",$L127)),(4+$F127+(2-$F127)*0.5)/6*2,(4+$F127)/6)) *
IF(ISNUMBER(SEARCH("Fusion",$L127)), _xlfn.IFS(X$24-$I127 &lt;=1, 9/10, X$24-$I127 &lt;=10,(11-(X$24-$I127))/10, X$24-$I127 &gt;=11, 0),
_xlfn.IFS(X$24-$I127 &lt;=1, 5/6, X$24-$I127 &lt;=5, (7-(X$24-$I127))/6, AND(X$24-$I127 =6,NOT(_xlfn.IFNA(ISNUMBER(SEARCH("Rending",$L127)),FALSE))), (7-(X$24-$I127))/6, AND(X$24-$I127 &gt;=7,NOT(_xlfn.IFNA(ISNUMBER(SEARCH("Rending",$L127)),FALSE))), 0, X$24-$I127 =7, (7-(X$24-1-$I127))/6, X$24-$I127 =8, (7-(X$24-2-$I127))/6*2/3, X$24-$I127 =9, (7-(X$24-3-$I127))/6*1/3, TRUE, 0)) *
IF(ISNUMBER(SEARCH("Ordinance",$L127)),7/6,1) *
IF(OR(ISNUMBER(SEARCH("Melee",$L127)),ISNUMBER(SEARCH("Bypass",$L127))),1.5,1)</f>
        <v>2.25</v>
      </c>
      <c r="Y127" s="17" cm="1">
        <f t="array" ref="Y127">$H127 *
IF(ISNUMBER(SEARCH("Rapid",$L127)),7/6,1) *
IF(OR(ISNUMBER(SEARCH("Beam",$L127)),ISNUMBER(SEARCH("Firestorm",$L127))),1, IF(ISNUMBER(SEARCH("Blast",$L127)),(4+$F127+(2-$F127)*0.5)/6*2,(4+$F127)/6)) *
IF(ISNUMBER(SEARCH("Fusion",$L127)), _xlfn.IFS(Y$24-$I127 &lt;=1, 9/10, Y$24-$I127 &lt;=10,(11-(Y$24-$I127))/10, Y$24-$I127 &gt;=11, 0),
_xlfn.IFS(Y$24-$I127 &lt;=1, 5/6, Y$24-$I127 &lt;=5, (7-(Y$24-$I127))/6, AND(Y$24-$I127 =6,NOT(_xlfn.IFNA(ISNUMBER(SEARCH("Rending",$L127)),FALSE))), (7-(Y$24-$I127))/6, AND(Y$24-$I127 &gt;=7,NOT(_xlfn.IFNA(ISNUMBER(SEARCH("Rending",$L127)),FALSE))), 0, Y$24-$I127 =7, (7-(Y$24-1-$I127))/6, Y$24-$I127 =8, (7-(Y$24-2-$I127))/6*2/3, Y$24-$I127 =9, (7-(Y$24-3-$I127))/6*1/3, TRUE, 0)) *
IF(ISNUMBER(SEARCH("Ordinance",$L127)),7/6,1) *
IF(OR(ISNUMBER(SEARCH("Melee",$L127)),ISNUMBER(SEARCH("Bypass",$L127))),1.5,1)</f>
        <v>2.25</v>
      </c>
      <c r="Z127" s="17" cm="1">
        <f t="array" ref="Z127">$H127 *
IF(ISNUMBER(SEARCH("Rapid",$L127)),7/6,1) *
IF(OR(ISNUMBER(SEARCH("Beam",$L127)),ISNUMBER(SEARCH("Firestorm",$L127))),1, IF(ISNUMBER(SEARCH("Blast",$L127)),(4+$F127+(2-$F127)*0.5)/6*2,(4+$F127)/6)) *
IF(ISNUMBER(SEARCH("Fusion",$L127)), _xlfn.IFS(Z$24-$I127 &lt;=1, 9/10, Z$24-$I127 &lt;=10,(11-(Z$24-$I127))/10, Z$24-$I127 &gt;=11, 0),
_xlfn.IFS(Z$24-$I127 &lt;=1, 5/6, Z$24-$I127 &lt;=5, (7-(Z$24-$I127))/6, AND(Z$24-$I127 =6,NOT(_xlfn.IFNA(ISNUMBER(SEARCH("Rending",$L127)),FALSE))), (7-(Z$24-$I127))/6, AND(Z$24-$I127 &gt;=7,NOT(_xlfn.IFNA(ISNUMBER(SEARCH("Rending",$L127)),FALSE))), 0, Z$24-$I127 =7, (7-(Z$24-1-$I127))/6, Z$24-$I127 =8, (7-(Z$24-2-$I127))/6*2/3, Z$24-$I127 =9, (7-(Z$24-3-$I127))/6*1/3, TRUE, 0)) *
IF(ISNUMBER(SEARCH("Ordinance",$L127)),7/6,1) *
IF(OR(ISNUMBER(SEARCH("Melee",$L127)),ISNUMBER(SEARCH("Bypass",$L127))),1.5,1)</f>
        <v>2.25</v>
      </c>
      <c r="AA127" s="17" cm="1">
        <f t="array" ref="AA127">$H127 *
IF(ISNUMBER(SEARCH("Rapid",$L127)),7/6,1) *
IF(OR(ISNUMBER(SEARCH("Beam",$L127)),ISNUMBER(SEARCH("Firestorm",$L127))),1, IF(ISNUMBER(SEARCH("Blast",$L127)),(4+$F127+(2-$F127)*0.5)/6*2,(4+$F127)/6)) *
IF(ISNUMBER(SEARCH("Fusion",$L127)), _xlfn.IFS(AA$24-$I127 &lt;=1, 9/10, AA$24-$I127 &lt;=10,(11-(AA$24-$I127))/10, AA$24-$I127 &gt;=11, 0),
_xlfn.IFS(AA$24-$I127 &lt;=1, 5/6, AA$24-$I127 &lt;=5, (7-(AA$24-$I127))/6, AND(AA$24-$I127 =6,NOT(_xlfn.IFNA(ISNUMBER(SEARCH("Rending",$L127)),FALSE))), (7-(AA$24-$I127))/6, AND(AA$24-$I127 &gt;=7,NOT(_xlfn.IFNA(ISNUMBER(SEARCH("Rending",$L127)),FALSE))), 0, AA$24-$I127 =7, (7-(AA$24-1-$I127))/6, AA$24-$I127 =8, (7-(AA$24-2-$I127))/6*2/3, AA$24-$I127 =9, (7-(AA$24-3-$I127))/6*1/3, TRUE, 0)) *
IF(ISNUMBER(SEARCH("Ordinance",$L127)),7/6,1) *
IF(OR(ISNUMBER(SEARCH("Melee",$L127)),ISNUMBER(SEARCH("Bypass",$L127))),1.5,1)</f>
        <v>2.25</v>
      </c>
      <c r="AB127" s="17" cm="1">
        <f t="array" ref="AB127">$H127 *
IF(ISNUMBER(SEARCH("Rapid",$L127)),7/6,1) *
IF(OR(ISNUMBER(SEARCH("Beam",$L127)),ISNUMBER(SEARCH("Firestorm",$L127))),1, IF(ISNUMBER(SEARCH("Blast",$L127)),(4+$F127+(2-$F127)*0.5)/6*2,(4+$F127)/6)) *
IF(ISNUMBER(SEARCH("Fusion",$L127)), _xlfn.IFS(AB$24-$I127 &lt;=1, 9/10, AB$24-$I127 &lt;=10,(11-(AB$24-$I127))/10, AB$24-$I127 &gt;=11, 0),
_xlfn.IFS(AB$24-$I127 &lt;=1, 5/6, AB$24-$I127 &lt;=5, (7-(AB$24-$I127))/6, AND(AB$24-$I127 =6,NOT(_xlfn.IFNA(ISNUMBER(SEARCH("Rending",$L127)),FALSE))), (7-(AB$24-$I127))/6, AND(AB$24-$I127 &gt;=7,NOT(_xlfn.IFNA(ISNUMBER(SEARCH("Rending",$L127)),FALSE))), 0, AB$24-$I127 =7, (7-(AB$24-1-$I127))/6, AB$24-$I127 =8, (7-(AB$24-2-$I127))/6*2/3, AB$24-$I127 =9, (7-(AB$24-3-$I127))/6*1/3, TRUE, 0)) *
IF(ISNUMBER(SEARCH("Ordinance",$L127)),7/6,1) *
IF(OR(ISNUMBER(SEARCH("Melee",$L127)),ISNUMBER(SEARCH("Bypass",$L127))),1.5,1)</f>
        <v>2.25</v>
      </c>
      <c r="AC127" s="17" cm="1">
        <f t="array" ref="AC127">$H127 *
IF(ISNUMBER(SEARCH("Rapid",$L127)),7/6,1) *
IF(OR(ISNUMBER(SEARCH("Beam",$L127)),ISNUMBER(SEARCH("Firestorm",$L127))),1, IF(ISNUMBER(SEARCH("Blast",$L127)),(4+$F127+(2-$F127)*0.5)/6*2,(4+$F127)/6)) *
IF(ISNUMBER(SEARCH("Fusion",$L127)), _xlfn.IFS(AC$24-$I127 &lt;=1, 9/10, AC$24-$I127 &lt;=10,(11-(AC$24-$I127))/10, AC$24-$I127 &gt;=11, 0),
_xlfn.IFS(AC$24-$I127 &lt;=1, 5/6, AC$24-$I127 &lt;=5, (7-(AC$24-$I127))/6, AND(AC$24-$I127 =6,NOT(_xlfn.IFNA(ISNUMBER(SEARCH("Rending",$L127)),FALSE))), (7-(AC$24-$I127))/6, AND(AC$24-$I127 &gt;=7,NOT(_xlfn.IFNA(ISNUMBER(SEARCH("Rending",$L127)),FALSE))), 0, AC$24-$I127 =7, (7-(AC$24-1-$I127))/6, AC$24-$I127 =8, (7-(AC$24-2-$I127))/6*2/3, AC$24-$I127 =9, (7-(AC$24-3-$I127))/6*1/3, TRUE, 0)) *
IF(ISNUMBER(SEARCH("Ordinance",$L127)),7/6,1) *
IF(OR(ISNUMBER(SEARCH("Melee",$L127)),ISNUMBER(SEARCH("Bypass",$L127))),1.5,1)</f>
        <v>2</v>
      </c>
      <c r="AD127" s="17" cm="1">
        <f t="array" ref="AD127">$H127 *
IF(ISNUMBER(SEARCH("Rapid",$L127)),7/6,1) *
IF(OR(ISNUMBER(SEARCH("Beam",$L127)),ISNUMBER(SEARCH("Firestorm",$L127))),1, IF(ISNUMBER(SEARCH("Blast",$L127)),(4+$F127+(2-$F127)*0.5)/6*2,(4+$F127)/6)) *
IF(ISNUMBER(SEARCH("Fusion",$L127)), _xlfn.IFS(AD$24-$I127 &lt;=1, 9/10, AD$24-$I127 &lt;=10,(11-(AD$24-$I127))/10, AD$24-$I127 &gt;=11, 0),
_xlfn.IFS(AD$24-$I127 &lt;=1, 5/6, AD$24-$I127 &lt;=5, (7-(AD$24-$I127))/6, AND(AD$24-$I127 =6,NOT(_xlfn.IFNA(ISNUMBER(SEARCH("Rending",$L127)),FALSE))), (7-(AD$24-$I127))/6, AND(AD$24-$I127 &gt;=7,NOT(_xlfn.IFNA(ISNUMBER(SEARCH("Rending",$L127)),FALSE))), 0, AD$24-$I127 =7, (7-(AD$24-1-$I127))/6, AD$24-$I127 =8, (7-(AD$24-2-$I127))/6*2/3, AD$24-$I127 =9, (7-(AD$24-3-$I127))/6*1/3, TRUE, 0)) *
IF(ISNUMBER(SEARCH("Ordinance",$L127)),7/6,1) *
IF(OR(ISNUMBER(SEARCH("Melee",$L127)),ISNUMBER(SEARCH("Bypass",$L127))),1.5,1)</f>
        <v>1.75</v>
      </c>
      <c r="AE127" s="17" cm="1">
        <f t="array" ref="AE127">$H127 *
IF(ISNUMBER(SEARCH("Rapid",$L127)),7/6,1) *
IF(OR(ISNUMBER(SEARCH("Beam",$L127)),ISNUMBER(SEARCH("Firestorm",$L127))),1, IF(ISNUMBER(SEARCH("Blast",$L127)),(4+$F127+(2-$F127)*0.5)/6*2,(4+$F127)/6)) *
IF(ISNUMBER(SEARCH("Fusion",$L127)), _xlfn.IFS(AE$24-$I127 &lt;=1, 9/10, AE$24-$I127 &lt;=10,(11-(AE$24-$I127))/10, AE$24-$I127 &gt;=11, 0),
_xlfn.IFS(AE$24-$I127 &lt;=1, 5/6, AE$24-$I127 &lt;=5, (7-(AE$24-$I127))/6, AND(AE$24-$I127 =6,NOT(_xlfn.IFNA(ISNUMBER(SEARCH("Rending",$L127)),FALSE))), (7-(AE$24-$I127))/6, AND(AE$24-$I127 &gt;=7,NOT(_xlfn.IFNA(ISNUMBER(SEARCH("Rending",$L127)),FALSE))), 0, AE$24-$I127 =7, (7-(AE$24-1-$I127))/6, AE$24-$I127 =8, (7-(AE$24-2-$I127))/6*2/3, AE$24-$I127 =9, (7-(AE$24-3-$I127))/6*1/3, TRUE, 0)) *
IF(ISNUMBER(SEARCH("Ordinance",$L127)),7/6,1) *
IF(OR(ISNUMBER(SEARCH("Melee",$L127)),ISNUMBER(SEARCH("Bypass",$L127))),1.5,1)</f>
        <v>1.5</v>
      </c>
      <c r="AF127" s="17" cm="1">
        <f t="array" ref="AF127">$H127 *
IF(ISNUMBER(SEARCH("Rapid",$L127)),7/6,1) *
IF(OR(ISNUMBER(SEARCH("Beam",$L127)),ISNUMBER(SEARCH("Firestorm",$L127))),1, IF(ISNUMBER(SEARCH("Blast",$L127)),(4+$F127+(2-$F127)*0.5)/6*2,(4+$F127)/6)) *
IF(ISNUMBER(SEARCH("Fusion",$L127)), _xlfn.IFS(AF$24-$I127 &lt;=1, 9/10, AF$24-$I127 &lt;=10,(11-(AF$24-$I127))/10, AF$24-$I127 &gt;=11, 0),
_xlfn.IFS(AF$24-$I127 &lt;=1, 5/6, AF$24-$I127 &lt;=5, (7-(AF$24-$I127))/6, AND(AF$24-$I127 =6,NOT(_xlfn.IFNA(ISNUMBER(SEARCH("Rending",$L127)),FALSE))), (7-(AF$24-$I127))/6, AND(AF$24-$I127 &gt;=7,NOT(_xlfn.IFNA(ISNUMBER(SEARCH("Rending",$L127)),FALSE))), 0, AF$24-$I127 =7, (7-(AF$24-1-$I127))/6, AF$24-$I127 =8, (7-(AF$24-2-$I127))/6*2/3, AF$24-$I127 =9, (7-(AF$24-3-$I127))/6*1/3, TRUE, 0)) *
IF(ISNUMBER(SEARCH("Ordinance",$L127)),7/6,1) *
IF(OR(ISNUMBER(SEARCH("Melee",$L127)),ISNUMBER(SEARCH("Bypass",$L127))),1.5,1)</f>
        <v>1.25</v>
      </c>
      <c r="AG127" s="16">
        <f t="shared" si="22"/>
        <v>0.66666666666666663</v>
      </c>
      <c r="AH127" s="16">
        <f t="shared" si="23"/>
        <v>1</v>
      </c>
      <c r="AI127" s="17" cm="1">
        <f t="array" ref="AI127">$H127 *
IF(ISNUMBER(SEARCH("Rapid",$L127)),7/6,1) *
IF(OR(ISNUMBER(SEARCH("Beam",$L127)),ISNUMBER(SEARCH("Firestorm",$L127))),1, IF(ISNUMBER(SEARCH("Blast",$L127)),(4+$G127+(2-$G127)*0.5)/6*2,(4+$G127)/6)) *
_xlfn.IFS(AI$24-$I127 &lt;=1, 5/6, AI$24-$I127 &lt;=5, (7-(AI$24-$I127))/6, AND(AI$24-$I127 =6,NOT(_xlfn.IFNA(ISNUMBER(SEARCH("Rending",$L127)),FALSE))), (7-(AI$24-$I127))/6, AND(AI$24-$I127 &gt;=7,NOT(_xlfn.IFNA(ISNUMBER(SEARCH("Rending",$L127)),FALSE))), 0, AI$24-$I127 =7, (7-(AI$24-1-$I127))/6, AI$24-$I127 =8, (7-(AI$24-2-$I127))/6*2/3, AI$24-$I127 =9, (7-(AI$24-3-$I127))/6*1/3, TRUE, 0) *
IF(ISNUMBER(SEARCH("Ordinance",$L127)),7/6,1) *
IF(OR(ISNUMBER(SEARCH("Melee",$L127)),ISNUMBER(SEARCH("Bypass",$L127))),1.5,1)</f>
        <v>1.6666666666666667</v>
      </c>
      <c r="AJ127" s="17" cm="1">
        <f t="array" ref="AJ127">$H127 *
IF(ISNUMBER(SEARCH("Rapid",$L127)),7/6,1) *
IF(OR(ISNUMBER(SEARCH("Beam",$L127)),ISNUMBER(SEARCH("Firestorm",$L127))),1, IF(ISNUMBER(SEARCH("Blast",$L127)),(4+$G127+(2-$G127)*0.5)/6*2,(4+$G127)/6)) *
_xlfn.IFS(AJ$24-$I127 &lt;=1, 5/6, AJ$24-$I127 &lt;=5, (7-(AJ$24-$I127))/6, AND(AJ$24-$I127 =6,NOT(_xlfn.IFNA(ISNUMBER(SEARCH("Rending",$L127)),FALSE))), (7-(AJ$24-$I127))/6, AND(AJ$24-$I127 &gt;=7,NOT(_xlfn.IFNA(ISNUMBER(SEARCH("Rending",$L127)),FALSE))), 0, AJ$24-$I127 =7, (7-(AJ$24-1-$I127))/6, AJ$24-$I127 =8, (7-(AJ$24-2-$I127))/6*2/3, AJ$24-$I127 =9, (7-(AJ$24-3-$I127))/6*1/3, TRUE, 0) *
IF(ISNUMBER(SEARCH("Ordinance",$L127)),7/6,1) *
IF(OR(ISNUMBER(SEARCH("Melee",$L127)),ISNUMBER(SEARCH("Bypass",$L127))),1.5,1)</f>
        <v>1.6666666666666667</v>
      </c>
      <c r="AK127" s="17" cm="1">
        <f t="array" ref="AK127">$H127 *
IF(ISNUMBER(SEARCH("Rapid",$L127)),7/6,1) *
IF(OR(ISNUMBER(SEARCH("Beam",$L127)),ISNUMBER(SEARCH("Firestorm",$L127))),1, IF(ISNUMBER(SEARCH("Blast",$L127)),(4+$G127+(2-$G127)*0.5)/6*2,(4+$G127)/6)) *
_xlfn.IFS(AK$24-$I127 &lt;=1, 5/6, AK$24-$I127 &lt;=5, (7-(AK$24-$I127))/6, AND(AK$24-$I127 =6,NOT(_xlfn.IFNA(ISNUMBER(SEARCH("Rending",$L127)),FALSE))), (7-(AK$24-$I127))/6, AND(AK$24-$I127 &gt;=7,NOT(_xlfn.IFNA(ISNUMBER(SEARCH("Rending",$L127)),FALSE))), 0, AK$24-$I127 =7, (7-(AK$24-1-$I127))/6, AK$24-$I127 =8, (7-(AK$24-2-$I127))/6*2/3, AK$24-$I127 =9, (7-(AK$24-3-$I127))/6*1/3, TRUE, 0) *
IF(ISNUMBER(SEARCH("Ordinance",$L127)),7/6,1) *
IF(OR(ISNUMBER(SEARCH("Melee",$L127)),ISNUMBER(SEARCH("Bypass",$L127))),1.5,1)</f>
        <v>1.6666666666666667</v>
      </c>
      <c r="AL127" s="17" cm="1">
        <f t="array" ref="AL127">$H127 *
IF(ISNUMBER(SEARCH("Rapid",$L127)),7/6,1) *
IF(OR(ISNUMBER(SEARCH("Beam",$L127)),ISNUMBER(SEARCH("Firestorm",$L127))),1, IF(ISNUMBER(SEARCH("Blast",$L127)),(4+$G127+(2-$G127)*0.5)/6*2,(4+$G127)/6)) *
_xlfn.IFS(AL$24-$I127 &lt;=1, 5/6, AL$24-$I127 &lt;=5, (7-(AL$24-$I127))/6, AND(AL$24-$I127 =6,NOT(_xlfn.IFNA(ISNUMBER(SEARCH("Rending",$L127)),FALSE))), (7-(AL$24-$I127))/6, AND(AL$24-$I127 &gt;=7,NOT(_xlfn.IFNA(ISNUMBER(SEARCH("Rending",$L127)),FALSE))), 0, AL$24-$I127 =7, (7-(AL$24-1-$I127))/6, AL$24-$I127 =8, (7-(AL$24-2-$I127))/6*2/3, AL$24-$I127 =9, (7-(AL$24-3-$I127))/6*1/3, TRUE, 0) *
IF(ISNUMBER(SEARCH("Ordinance",$L127)),7/6,1) *
IF(OR(ISNUMBER(SEARCH("Melee",$L127)),ISNUMBER(SEARCH("Bypass",$L127))),1.5,1)</f>
        <v>1.6666666666666667</v>
      </c>
      <c r="AM127" s="17" cm="1">
        <f t="array" ref="AM127">$H127 *
IF(ISNUMBER(SEARCH("Rapid",$L127)),7/6,1) *
IF(OR(ISNUMBER(SEARCH("Beam",$L127)),ISNUMBER(SEARCH("Firestorm",$L127))),1, IF(ISNUMBER(SEARCH("Blast",$L127)),(4+$G127+(2-$G127)*0.5)/6*2,(4+$G127)/6)) *
_xlfn.IFS(AM$24-$I127 &lt;=1, 5/6, AM$24-$I127 &lt;=5, (7-(AM$24-$I127))/6, AND(AM$24-$I127 =6,NOT(_xlfn.IFNA(ISNUMBER(SEARCH("Rending",$L127)),FALSE))), (7-(AM$24-$I127))/6, AND(AM$24-$I127 &gt;=7,NOT(_xlfn.IFNA(ISNUMBER(SEARCH("Rending",$L127)),FALSE))), 0, AM$24-$I127 =7, (7-(AM$24-1-$I127))/6, AM$24-$I127 =8, (7-(AM$24-2-$I127))/6*2/3, AM$24-$I127 =9, (7-(AM$24-3-$I127))/6*1/3, TRUE, 0) *
IF(ISNUMBER(SEARCH("Ordinance",$L127)),7/6,1) *
IF(OR(ISNUMBER(SEARCH("Melee",$L127)),ISNUMBER(SEARCH("Bypass",$L127))),1.5,1)</f>
        <v>1.6666666666666667</v>
      </c>
      <c r="AN127" s="17" cm="1">
        <f t="array" ref="AN127">$H127 *
IF(ISNUMBER(SEARCH("Rapid",$L127)),7/6,1) *
IF(OR(ISNUMBER(SEARCH("Beam",$L127)),ISNUMBER(SEARCH("Firestorm",$L127))),1, IF(ISNUMBER(SEARCH("Blast",$L127)),(4+$G127+(2-$G127)*0.5)/6*2,(4+$G127)/6)) *
_xlfn.IFS(AN$24-$I127 &lt;=1, 5/6, AN$24-$I127 &lt;=5, (7-(AN$24-$I127))/6, AND(AN$24-$I127 =6,NOT(_xlfn.IFNA(ISNUMBER(SEARCH("Rending",$L127)),FALSE))), (7-(AN$24-$I127))/6, AND(AN$24-$I127 &gt;=7,NOT(_xlfn.IFNA(ISNUMBER(SEARCH("Rending",$L127)),FALSE))), 0, AN$24-$I127 =7, (7-(AN$24-1-$I127))/6, AN$24-$I127 =8, (7-(AN$24-2-$I127))/6*2/3, AN$24-$I127 =9, (7-(AN$24-3-$I127))/6*1/3, TRUE, 0) *
IF(ISNUMBER(SEARCH("Ordinance",$L127)),7/6,1) *
IF(OR(ISNUMBER(SEARCH("Melee",$L127)),ISNUMBER(SEARCH("Bypass",$L127))),1.5,1)</f>
        <v>1.3333333333333333</v>
      </c>
      <c r="AO127" s="17" cm="1">
        <f t="array" ref="AO127">$H127 *
IF(ISNUMBER(SEARCH("Rapid",$L127)),7/6,1) *
IF(OR(ISNUMBER(SEARCH("Beam",$L127)),ISNUMBER(SEARCH("Firestorm",$L127))),1, IF(ISNUMBER(SEARCH("Blast",$L127)),(4+$G127+(2-$G127)*0.5)/6*2,(4+$G127)/6)) *
_xlfn.IFS(AO$24-$I127 &lt;=1, 5/6, AO$24-$I127 &lt;=5, (7-(AO$24-$I127))/6, AND(AO$24-$I127 =6,NOT(_xlfn.IFNA(ISNUMBER(SEARCH("Rending",$L127)),FALSE))), (7-(AO$24-$I127))/6, AND(AO$24-$I127 &gt;=7,NOT(_xlfn.IFNA(ISNUMBER(SEARCH("Rending",$L127)),FALSE))), 0, AO$24-$I127 =7, (7-(AO$24-1-$I127))/6, AO$24-$I127 =8, (7-(AO$24-2-$I127))/6*2/3, AO$24-$I127 =9, (7-(AO$24-3-$I127))/6*1/3, TRUE, 0) *
IF(ISNUMBER(SEARCH("Ordinance",$L127)),7/6,1) *
IF(OR(ISNUMBER(SEARCH("Melee",$L127)),ISNUMBER(SEARCH("Bypass",$L127))),1.5,1)</f>
        <v>1</v>
      </c>
      <c r="AP127" s="17" cm="1">
        <f t="array" ref="AP127">$H127 *
IF(ISNUMBER(SEARCH("Rapid",$L127)),7/6,1) *
IF(OR(ISNUMBER(SEARCH("Beam",$L127)),ISNUMBER(SEARCH("Firestorm",$L127))),1, IF(ISNUMBER(SEARCH("Blast",$L127)),(4+$G127+(2-$G127)*0.5)/6*2,(4+$G127)/6)) *
_xlfn.IFS(AP$24-$I127 &lt;=1, 5/6, AP$24-$I127 &lt;=5, (7-(AP$24-$I127))/6, AND(AP$24-$I127 =6,NOT(_xlfn.IFNA(ISNUMBER(SEARCH("Rending",$L127)),FALSE))), (7-(AP$24-$I127))/6, AND(AP$24-$I127 &gt;=7,NOT(_xlfn.IFNA(ISNUMBER(SEARCH("Rending",$L127)),FALSE))), 0, AP$24-$I127 =7, (7-(AP$24-1-$I127))/6, AP$24-$I127 =8, (7-(AP$24-2-$I127))/6*2/3, AP$24-$I127 =9, (7-(AP$24-3-$I127))/6*1/3, TRUE, 0) *
IF(ISNUMBER(SEARCH("Ordinance",$L127)),7/6,1) *
IF(OR(ISNUMBER(SEARCH("Melee",$L127)),ISNUMBER(SEARCH("Bypass",$L127))),1.5,1)</f>
        <v>0.66666666666666663</v>
      </c>
      <c r="AQ127" s="17" cm="1">
        <f t="array" ref="AQ127">$H127 *
IF(ISNUMBER(SEARCH("Rapid",$L127)),7/6,1) *
IF(OR(ISNUMBER(SEARCH("Beam",$L127)),ISNUMBER(SEARCH("Firestorm",$L127))),1, IF(ISNUMBER(SEARCH("Blast",$L127)),(4+$G127+(2-$G127)*0.5)/6*2,(4+$G127)/6)) *
_xlfn.IFS(AQ$24-$I127 &lt;=1, 5/6, AQ$24-$I127 &lt;=5, (7-(AQ$24-$I127))/6, AND(AQ$24-$I127 =6,NOT(_xlfn.IFNA(ISNUMBER(SEARCH("Rending",$L127)),FALSE))), (7-(AQ$24-$I127))/6, AND(AQ$24-$I127 &gt;=7,NOT(_xlfn.IFNA(ISNUMBER(SEARCH("Rending",$L127)),FALSE))), 0, AQ$24-$I127 =7, (7-(AQ$24-1-$I127))/6, AQ$24-$I127 =8, (7-(AQ$24-2-$I127))/6*2/3, AQ$24-$I127 =9, (7-(AQ$24-3-$I127))/6*1/3, TRUE, 0) *
IF(ISNUMBER(SEARCH("Ordinance",$L127)),7/6,1) *
IF(OR(ISNUMBER(SEARCH("Melee",$L127)),ISNUMBER(SEARCH("Bypass",$L127))),1.5,1)</f>
        <v>0.33333333333333331</v>
      </c>
      <c r="AS127" s="16">
        <f t="shared" ref="AS127:AS135" si="30">IF($E127=1,AG127*3,IF($E127=2,2*AG127,1.1*AG127))/3</f>
        <v>0.44444444444444442</v>
      </c>
      <c r="AT127" s="16">
        <f t="shared" ref="AT127:AT135" si="31">IF($E127=1,AH127*3,IF($E127=2,2*AH127,1.1*AH127))/3</f>
        <v>0.66666666666666663</v>
      </c>
      <c r="AU127" s="16">
        <f t="shared" ref="AU127:AU135" si="32">IF(D127+E127=3,
 IF(E127=3, 2.5*AI127,
  IF(E127=2, 1.8*AI127+0.7*X127,
   IF(E127=1, 0.95*AI127+1.55*X127,
    2.5*X127))),
 IF(D127+E127=2,
  IF(E127=2, 1.55*AI127,
   IF(E127 =1, 0.85*AI127+0.7*X127,
    1.55*X127)),
  IF(E127=1, 0.95*AI127,
   0.7*X127))
)/3</f>
        <v>1.5250000000000001</v>
      </c>
      <c r="AV127" s="2">
        <v>13</v>
      </c>
    </row>
    <row r="128" spans="1:48" x14ac:dyDescent="0.3">
      <c r="A128" t="s">
        <v>560</v>
      </c>
      <c r="B128" s="3">
        <v>24</v>
      </c>
      <c r="C128" s="3">
        <v>48</v>
      </c>
      <c r="D128" s="3">
        <v>1</v>
      </c>
      <c r="E128" s="3">
        <v>2</v>
      </c>
      <c r="F128" s="10"/>
      <c r="G128" s="10">
        <v>1</v>
      </c>
      <c r="H128" s="3">
        <v>3</v>
      </c>
      <c r="I128" s="3">
        <v>8</v>
      </c>
      <c r="J128" s="3" t="s">
        <v>561</v>
      </c>
      <c r="K128" s="3">
        <v>50</v>
      </c>
      <c r="L128" s="3" t="s">
        <v>594</v>
      </c>
      <c r="M128" s="3" t="s">
        <v>236</v>
      </c>
      <c r="N128" s="3">
        <v>12</v>
      </c>
      <c r="O128" s="3">
        <v>12</v>
      </c>
      <c r="P128" s="3">
        <v>16</v>
      </c>
      <c r="Q128" s="3" t="s">
        <v>200</v>
      </c>
      <c r="R128" s="3">
        <v>7</v>
      </c>
      <c r="S128" s="3">
        <v>9</v>
      </c>
      <c r="T128" s="3">
        <v>4</v>
      </c>
      <c r="V128" s="16">
        <f t="shared" si="20"/>
        <v>0.66666666666666663</v>
      </c>
      <c r="W128" s="16">
        <f t="shared" si="21"/>
        <v>1</v>
      </c>
      <c r="X128" s="17" cm="1">
        <f t="array" ref="X128">$H128 *
IF(ISNUMBER(SEARCH("Rapid",$L128)),7/6,1) *
IF(OR(ISNUMBER(SEARCH("Beam",$L128)),ISNUMBER(SEARCH("Firestorm",$L128))),1, IF(ISNUMBER(SEARCH("Blast",$L128)),(4+$F128+(2-$F128)*0.5)/6*2,(4+$F128)/6)) *
IF(ISNUMBER(SEARCH("Fusion",$L128)), _xlfn.IFS(X$24-$I128 &lt;=1, 9/10, X$24-$I128 &lt;=10,(11-(X$24-$I128))/10, X$24-$I128 &gt;=11, 0),
_xlfn.IFS(X$24-$I128 &lt;=1, 5/6, X$24-$I128 &lt;=5, (7-(X$24-$I128))/6, AND(X$24-$I128 =6,NOT(_xlfn.IFNA(ISNUMBER(SEARCH("Rending",$L128)),FALSE))), (7-(X$24-$I128))/6, AND(X$24-$I128 &gt;=7,NOT(_xlfn.IFNA(ISNUMBER(SEARCH("Rending",$L128)),FALSE))), 0, X$24-$I128 =7, (7-(X$24-1-$I128))/6, X$24-$I128 =8, (7-(X$24-2-$I128))/6*2/3, X$24-$I128 =9, (7-(X$24-3-$I128))/6*1/3, TRUE, 0)) *
IF(ISNUMBER(SEARCH("Ordinance",$L128)),7/6,1) *
IF(OR(ISNUMBER(SEARCH("Melee",$L128)),ISNUMBER(SEARCH("Bypass",$L128))),1.5,1)</f>
        <v>1.6666666666666667</v>
      </c>
      <c r="Y128" s="17" cm="1">
        <f t="array" ref="Y128">$H128 *
IF(ISNUMBER(SEARCH("Rapid",$L128)),7/6,1) *
IF(OR(ISNUMBER(SEARCH("Beam",$L128)),ISNUMBER(SEARCH("Firestorm",$L128))),1, IF(ISNUMBER(SEARCH("Blast",$L128)),(4+$F128+(2-$F128)*0.5)/6*2,(4+$F128)/6)) *
IF(ISNUMBER(SEARCH("Fusion",$L128)), _xlfn.IFS(Y$24-$I128 &lt;=1, 9/10, Y$24-$I128 &lt;=10,(11-(Y$24-$I128))/10, Y$24-$I128 &gt;=11, 0),
_xlfn.IFS(Y$24-$I128 &lt;=1, 5/6, Y$24-$I128 &lt;=5, (7-(Y$24-$I128))/6, AND(Y$24-$I128 =6,NOT(_xlfn.IFNA(ISNUMBER(SEARCH("Rending",$L128)),FALSE))), (7-(Y$24-$I128))/6, AND(Y$24-$I128 &gt;=7,NOT(_xlfn.IFNA(ISNUMBER(SEARCH("Rending",$L128)),FALSE))), 0, Y$24-$I128 =7, (7-(Y$24-1-$I128))/6, Y$24-$I128 =8, (7-(Y$24-2-$I128))/6*2/3, Y$24-$I128 =9, (7-(Y$24-3-$I128))/6*1/3, TRUE, 0)) *
IF(ISNUMBER(SEARCH("Ordinance",$L128)),7/6,1) *
IF(OR(ISNUMBER(SEARCH("Melee",$L128)),ISNUMBER(SEARCH("Bypass",$L128))),1.5,1)</f>
        <v>1.6666666666666667</v>
      </c>
      <c r="Z128" s="17" cm="1">
        <f t="array" ref="Z128">$H128 *
IF(ISNUMBER(SEARCH("Rapid",$L128)),7/6,1) *
IF(OR(ISNUMBER(SEARCH("Beam",$L128)),ISNUMBER(SEARCH("Firestorm",$L128))),1, IF(ISNUMBER(SEARCH("Blast",$L128)),(4+$F128+(2-$F128)*0.5)/6*2,(4+$F128)/6)) *
IF(ISNUMBER(SEARCH("Fusion",$L128)), _xlfn.IFS(Z$24-$I128 &lt;=1, 9/10, Z$24-$I128 &lt;=10,(11-(Z$24-$I128))/10, Z$24-$I128 &gt;=11, 0),
_xlfn.IFS(Z$24-$I128 &lt;=1, 5/6, Z$24-$I128 &lt;=5, (7-(Z$24-$I128))/6, AND(Z$24-$I128 =6,NOT(_xlfn.IFNA(ISNUMBER(SEARCH("Rending",$L128)),FALSE))), (7-(Z$24-$I128))/6, AND(Z$24-$I128 &gt;=7,NOT(_xlfn.IFNA(ISNUMBER(SEARCH("Rending",$L128)),FALSE))), 0, Z$24-$I128 =7, (7-(Z$24-1-$I128))/6, Z$24-$I128 =8, (7-(Z$24-2-$I128))/6*2/3, Z$24-$I128 =9, (7-(Z$24-3-$I128))/6*1/3, TRUE, 0)) *
IF(ISNUMBER(SEARCH("Ordinance",$L128)),7/6,1) *
IF(OR(ISNUMBER(SEARCH("Melee",$L128)),ISNUMBER(SEARCH("Bypass",$L128))),1.5,1)</f>
        <v>1.3333333333333333</v>
      </c>
      <c r="AA128" s="17" cm="1">
        <f t="array" ref="AA128">$H128 *
IF(ISNUMBER(SEARCH("Rapid",$L128)),7/6,1) *
IF(OR(ISNUMBER(SEARCH("Beam",$L128)),ISNUMBER(SEARCH("Firestorm",$L128))),1, IF(ISNUMBER(SEARCH("Blast",$L128)),(4+$F128+(2-$F128)*0.5)/6*2,(4+$F128)/6)) *
IF(ISNUMBER(SEARCH("Fusion",$L128)), _xlfn.IFS(AA$24-$I128 &lt;=1, 9/10, AA$24-$I128 &lt;=10,(11-(AA$24-$I128))/10, AA$24-$I128 &gt;=11, 0),
_xlfn.IFS(AA$24-$I128 &lt;=1, 5/6, AA$24-$I128 &lt;=5, (7-(AA$24-$I128))/6, AND(AA$24-$I128 =6,NOT(_xlfn.IFNA(ISNUMBER(SEARCH("Rending",$L128)),FALSE))), (7-(AA$24-$I128))/6, AND(AA$24-$I128 &gt;=7,NOT(_xlfn.IFNA(ISNUMBER(SEARCH("Rending",$L128)),FALSE))), 0, AA$24-$I128 =7, (7-(AA$24-1-$I128))/6, AA$24-$I128 =8, (7-(AA$24-2-$I128))/6*2/3, AA$24-$I128 =9, (7-(AA$24-3-$I128))/6*1/3, TRUE, 0)) *
IF(ISNUMBER(SEARCH("Ordinance",$L128)),7/6,1) *
IF(OR(ISNUMBER(SEARCH("Melee",$L128)),ISNUMBER(SEARCH("Bypass",$L128))),1.5,1)</f>
        <v>1</v>
      </c>
      <c r="AB128" s="17" cm="1">
        <f t="array" ref="AB128">$H128 *
IF(ISNUMBER(SEARCH("Rapid",$L128)),7/6,1) *
IF(OR(ISNUMBER(SEARCH("Beam",$L128)),ISNUMBER(SEARCH("Firestorm",$L128))),1, IF(ISNUMBER(SEARCH("Blast",$L128)),(4+$F128+(2-$F128)*0.5)/6*2,(4+$F128)/6)) *
IF(ISNUMBER(SEARCH("Fusion",$L128)), _xlfn.IFS(AB$24-$I128 &lt;=1, 9/10, AB$24-$I128 &lt;=10,(11-(AB$24-$I128))/10, AB$24-$I128 &gt;=11, 0),
_xlfn.IFS(AB$24-$I128 &lt;=1, 5/6, AB$24-$I128 &lt;=5, (7-(AB$24-$I128))/6, AND(AB$24-$I128 =6,NOT(_xlfn.IFNA(ISNUMBER(SEARCH("Rending",$L128)),FALSE))), (7-(AB$24-$I128))/6, AND(AB$24-$I128 &gt;=7,NOT(_xlfn.IFNA(ISNUMBER(SEARCH("Rending",$L128)),FALSE))), 0, AB$24-$I128 =7, (7-(AB$24-1-$I128))/6, AB$24-$I128 =8, (7-(AB$24-2-$I128))/6*2/3, AB$24-$I128 =9, (7-(AB$24-3-$I128))/6*1/3, TRUE, 0)) *
IF(ISNUMBER(SEARCH("Ordinance",$L128)),7/6,1) *
IF(OR(ISNUMBER(SEARCH("Melee",$L128)),ISNUMBER(SEARCH("Bypass",$L128))),1.5,1)</f>
        <v>0.66666666666666663</v>
      </c>
      <c r="AC128" s="17" cm="1">
        <f t="array" ref="AC128">$H128 *
IF(ISNUMBER(SEARCH("Rapid",$L128)),7/6,1) *
IF(OR(ISNUMBER(SEARCH("Beam",$L128)),ISNUMBER(SEARCH("Firestorm",$L128))),1, IF(ISNUMBER(SEARCH("Blast",$L128)),(4+$F128+(2-$F128)*0.5)/6*2,(4+$F128)/6)) *
IF(ISNUMBER(SEARCH("Fusion",$L128)), _xlfn.IFS(AC$24-$I128 &lt;=1, 9/10, AC$24-$I128 &lt;=10,(11-(AC$24-$I128))/10, AC$24-$I128 &gt;=11, 0),
_xlfn.IFS(AC$24-$I128 &lt;=1, 5/6, AC$24-$I128 &lt;=5, (7-(AC$24-$I128))/6, AND(AC$24-$I128 =6,NOT(_xlfn.IFNA(ISNUMBER(SEARCH("Rending",$L128)),FALSE))), (7-(AC$24-$I128))/6, AND(AC$24-$I128 &gt;=7,NOT(_xlfn.IFNA(ISNUMBER(SEARCH("Rending",$L128)),FALSE))), 0, AC$24-$I128 =7, (7-(AC$24-1-$I128))/6, AC$24-$I128 =8, (7-(AC$24-2-$I128))/6*2/3, AC$24-$I128 =9, (7-(AC$24-3-$I128))/6*1/3, TRUE, 0)) *
IF(ISNUMBER(SEARCH("Ordinance",$L128)),7/6,1) *
IF(OR(ISNUMBER(SEARCH("Melee",$L128)),ISNUMBER(SEARCH("Bypass",$L128))),1.5,1)</f>
        <v>0.33333333333333331</v>
      </c>
      <c r="AD128" s="17" cm="1">
        <f t="array" ref="AD128">$H128 *
IF(ISNUMBER(SEARCH("Rapid",$L128)),7/6,1) *
IF(OR(ISNUMBER(SEARCH("Beam",$L128)),ISNUMBER(SEARCH("Firestorm",$L128))),1, IF(ISNUMBER(SEARCH("Blast",$L128)),(4+$F128+(2-$F128)*0.5)/6*2,(4+$F128)/6)) *
IF(ISNUMBER(SEARCH("Fusion",$L128)), _xlfn.IFS(AD$24-$I128 &lt;=1, 9/10, AD$24-$I128 &lt;=10,(11-(AD$24-$I128))/10, AD$24-$I128 &gt;=11, 0),
_xlfn.IFS(AD$24-$I128 &lt;=1, 5/6, AD$24-$I128 &lt;=5, (7-(AD$24-$I128))/6, AND(AD$24-$I128 =6,NOT(_xlfn.IFNA(ISNUMBER(SEARCH("Rending",$L128)),FALSE))), (7-(AD$24-$I128))/6, AND(AD$24-$I128 &gt;=7,NOT(_xlfn.IFNA(ISNUMBER(SEARCH("Rending",$L128)),FALSE))), 0, AD$24-$I128 =7, (7-(AD$24-1-$I128))/6, AD$24-$I128 =8, (7-(AD$24-2-$I128))/6*2/3, AD$24-$I128 =9, (7-(AD$24-3-$I128))/6*1/3, TRUE, 0)) *
IF(ISNUMBER(SEARCH("Ordinance",$L128)),7/6,1) *
IF(OR(ISNUMBER(SEARCH("Melee",$L128)),ISNUMBER(SEARCH("Bypass",$L128))),1.5,1)</f>
        <v>0</v>
      </c>
      <c r="AE128" s="17" cm="1">
        <f t="array" ref="AE128">$H128 *
IF(ISNUMBER(SEARCH("Rapid",$L128)),7/6,1) *
IF(OR(ISNUMBER(SEARCH("Beam",$L128)),ISNUMBER(SEARCH("Firestorm",$L128))),1, IF(ISNUMBER(SEARCH("Blast",$L128)),(4+$F128+(2-$F128)*0.5)/6*2,(4+$F128)/6)) *
IF(ISNUMBER(SEARCH("Fusion",$L128)), _xlfn.IFS(AE$24-$I128 &lt;=1, 9/10, AE$24-$I128 &lt;=10,(11-(AE$24-$I128))/10, AE$24-$I128 &gt;=11, 0),
_xlfn.IFS(AE$24-$I128 &lt;=1, 5/6, AE$24-$I128 &lt;=5, (7-(AE$24-$I128))/6, AND(AE$24-$I128 =6,NOT(_xlfn.IFNA(ISNUMBER(SEARCH("Rending",$L128)),FALSE))), (7-(AE$24-$I128))/6, AND(AE$24-$I128 &gt;=7,NOT(_xlfn.IFNA(ISNUMBER(SEARCH("Rending",$L128)),FALSE))), 0, AE$24-$I128 =7, (7-(AE$24-1-$I128))/6, AE$24-$I128 =8, (7-(AE$24-2-$I128))/6*2/3, AE$24-$I128 =9, (7-(AE$24-3-$I128))/6*1/3, TRUE, 0)) *
IF(ISNUMBER(SEARCH("Ordinance",$L128)),7/6,1) *
IF(OR(ISNUMBER(SEARCH("Melee",$L128)),ISNUMBER(SEARCH("Bypass",$L128))),1.5,1)</f>
        <v>0</v>
      </c>
      <c r="AF128" s="17" cm="1">
        <f t="array" ref="AF128">$H128 *
IF(ISNUMBER(SEARCH("Rapid",$L128)),7/6,1) *
IF(OR(ISNUMBER(SEARCH("Beam",$L128)),ISNUMBER(SEARCH("Firestorm",$L128))),1, IF(ISNUMBER(SEARCH("Blast",$L128)),(4+$F128+(2-$F128)*0.5)/6*2,(4+$F128)/6)) *
IF(ISNUMBER(SEARCH("Fusion",$L128)), _xlfn.IFS(AF$24-$I128 &lt;=1, 9/10, AF$24-$I128 &lt;=10,(11-(AF$24-$I128))/10, AF$24-$I128 &gt;=11, 0),
_xlfn.IFS(AF$24-$I128 &lt;=1, 5/6, AF$24-$I128 &lt;=5, (7-(AF$24-$I128))/6, AND(AF$24-$I128 =6,NOT(_xlfn.IFNA(ISNUMBER(SEARCH("Rending",$L128)),FALSE))), (7-(AF$24-$I128))/6, AND(AF$24-$I128 &gt;=7,NOT(_xlfn.IFNA(ISNUMBER(SEARCH("Rending",$L128)),FALSE))), 0, AF$24-$I128 =7, (7-(AF$24-1-$I128))/6, AF$24-$I128 =8, (7-(AF$24-2-$I128))/6*2/3, AF$24-$I128 =9, (7-(AF$24-3-$I128))/6*1/3, TRUE, 0)) *
IF(ISNUMBER(SEARCH("Ordinance",$L128)),7/6,1) *
IF(OR(ISNUMBER(SEARCH("Melee",$L128)),ISNUMBER(SEARCH("Bypass",$L128))),1.5,1)</f>
        <v>0</v>
      </c>
      <c r="AG128" s="16">
        <f t="shared" si="22"/>
        <v>0.83333333333333326</v>
      </c>
      <c r="AH128" s="16">
        <f t="shared" si="23"/>
        <v>1.25</v>
      </c>
      <c r="AI128" s="17" cm="1">
        <f t="array" ref="AI128">$H128 *
IF(ISNUMBER(SEARCH("Rapid",$L128)),7/6,1) *
IF(OR(ISNUMBER(SEARCH("Beam",$L128)),ISNUMBER(SEARCH("Firestorm",$L128))),1, IF(ISNUMBER(SEARCH("Blast",$L128)),(4+$G128+(2-$G128)*0.5)/6*2,(4+$G128)/6)) *
_xlfn.IFS(AI$24-$I128 &lt;=1, 5/6, AI$24-$I128 &lt;=5, (7-(AI$24-$I128))/6, AND(AI$24-$I128 =6,NOT(_xlfn.IFNA(ISNUMBER(SEARCH("Rending",$L128)),FALSE))), (7-(AI$24-$I128))/6, AND(AI$24-$I128 &gt;=7,NOT(_xlfn.IFNA(ISNUMBER(SEARCH("Rending",$L128)),FALSE))), 0, AI$24-$I128 =7, (7-(AI$24-1-$I128))/6, AI$24-$I128 =8, (7-(AI$24-2-$I128))/6*2/3, AI$24-$I128 =9, (7-(AI$24-3-$I128))/6*1/3, TRUE, 0) *
IF(ISNUMBER(SEARCH("Ordinance",$L128)),7/6,1) *
IF(OR(ISNUMBER(SEARCH("Melee",$L128)),ISNUMBER(SEARCH("Bypass",$L128))),1.5,1)</f>
        <v>2.0833333333333335</v>
      </c>
      <c r="AJ128" s="17" cm="1">
        <f t="array" ref="AJ128">$H128 *
IF(ISNUMBER(SEARCH("Rapid",$L128)),7/6,1) *
IF(OR(ISNUMBER(SEARCH("Beam",$L128)),ISNUMBER(SEARCH("Firestorm",$L128))),1, IF(ISNUMBER(SEARCH("Blast",$L128)),(4+$G128+(2-$G128)*0.5)/6*2,(4+$G128)/6)) *
_xlfn.IFS(AJ$24-$I128 &lt;=1, 5/6, AJ$24-$I128 &lt;=5, (7-(AJ$24-$I128))/6, AND(AJ$24-$I128 =6,NOT(_xlfn.IFNA(ISNUMBER(SEARCH("Rending",$L128)),FALSE))), (7-(AJ$24-$I128))/6, AND(AJ$24-$I128 &gt;=7,NOT(_xlfn.IFNA(ISNUMBER(SEARCH("Rending",$L128)),FALSE))), 0, AJ$24-$I128 =7, (7-(AJ$24-1-$I128))/6, AJ$24-$I128 =8, (7-(AJ$24-2-$I128))/6*2/3, AJ$24-$I128 =9, (7-(AJ$24-3-$I128))/6*1/3, TRUE, 0) *
IF(ISNUMBER(SEARCH("Ordinance",$L128)),7/6,1) *
IF(OR(ISNUMBER(SEARCH("Melee",$L128)),ISNUMBER(SEARCH("Bypass",$L128))),1.5,1)</f>
        <v>2.0833333333333335</v>
      </c>
      <c r="AK128" s="17" cm="1">
        <f t="array" ref="AK128">$H128 *
IF(ISNUMBER(SEARCH("Rapid",$L128)),7/6,1) *
IF(OR(ISNUMBER(SEARCH("Beam",$L128)),ISNUMBER(SEARCH("Firestorm",$L128))),1, IF(ISNUMBER(SEARCH("Blast",$L128)),(4+$G128+(2-$G128)*0.5)/6*2,(4+$G128)/6)) *
_xlfn.IFS(AK$24-$I128 &lt;=1, 5/6, AK$24-$I128 &lt;=5, (7-(AK$24-$I128))/6, AND(AK$24-$I128 =6,NOT(_xlfn.IFNA(ISNUMBER(SEARCH("Rending",$L128)),FALSE))), (7-(AK$24-$I128))/6, AND(AK$24-$I128 &gt;=7,NOT(_xlfn.IFNA(ISNUMBER(SEARCH("Rending",$L128)),FALSE))), 0, AK$24-$I128 =7, (7-(AK$24-1-$I128))/6, AK$24-$I128 =8, (7-(AK$24-2-$I128))/6*2/3, AK$24-$I128 =9, (7-(AK$24-3-$I128))/6*1/3, TRUE, 0) *
IF(ISNUMBER(SEARCH("Ordinance",$L128)),7/6,1) *
IF(OR(ISNUMBER(SEARCH("Melee",$L128)),ISNUMBER(SEARCH("Bypass",$L128))),1.5,1)</f>
        <v>1.6666666666666665</v>
      </c>
      <c r="AL128" s="17" cm="1">
        <f t="array" ref="AL128">$H128 *
IF(ISNUMBER(SEARCH("Rapid",$L128)),7/6,1) *
IF(OR(ISNUMBER(SEARCH("Beam",$L128)),ISNUMBER(SEARCH("Firestorm",$L128))),1, IF(ISNUMBER(SEARCH("Blast",$L128)),(4+$G128+(2-$G128)*0.5)/6*2,(4+$G128)/6)) *
_xlfn.IFS(AL$24-$I128 &lt;=1, 5/6, AL$24-$I128 &lt;=5, (7-(AL$24-$I128))/6, AND(AL$24-$I128 =6,NOT(_xlfn.IFNA(ISNUMBER(SEARCH("Rending",$L128)),FALSE))), (7-(AL$24-$I128))/6, AND(AL$24-$I128 &gt;=7,NOT(_xlfn.IFNA(ISNUMBER(SEARCH("Rending",$L128)),FALSE))), 0, AL$24-$I128 =7, (7-(AL$24-1-$I128))/6, AL$24-$I128 =8, (7-(AL$24-2-$I128))/6*2/3, AL$24-$I128 =9, (7-(AL$24-3-$I128))/6*1/3, TRUE, 0) *
IF(ISNUMBER(SEARCH("Ordinance",$L128)),7/6,1) *
IF(OR(ISNUMBER(SEARCH("Melee",$L128)),ISNUMBER(SEARCH("Bypass",$L128))),1.5,1)</f>
        <v>1.25</v>
      </c>
      <c r="AM128" s="17" cm="1">
        <f t="array" ref="AM128">$H128 *
IF(ISNUMBER(SEARCH("Rapid",$L128)),7/6,1) *
IF(OR(ISNUMBER(SEARCH("Beam",$L128)),ISNUMBER(SEARCH("Firestorm",$L128))),1, IF(ISNUMBER(SEARCH("Blast",$L128)),(4+$G128+(2-$G128)*0.5)/6*2,(4+$G128)/6)) *
_xlfn.IFS(AM$24-$I128 &lt;=1, 5/6, AM$24-$I128 &lt;=5, (7-(AM$24-$I128))/6, AND(AM$24-$I128 =6,NOT(_xlfn.IFNA(ISNUMBER(SEARCH("Rending",$L128)),FALSE))), (7-(AM$24-$I128))/6, AND(AM$24-$I128 &gt;=7,NOT(_xlfn.IFNA(ISNUMBER(SEARCH("Rending",$L128)),FALSE))), 0, AM$24-$I128 =7, (7-(AM$24-1-$I128))/6, AM$24-$I128 =8, (7-(AM$24-2-$I128))/6*2/3, AM$24-$I128 =9, (7-(AM$24-3-$I128))/6*1/3, TRUE, 0) *
IF(ISNUMBER(SEARCH("Ordinance",$L128)),7/6,1) *
IF(OR(ISNUMBER(SEARCH("Melee",$L128)),ISNUMBER(SEARCH("Bypass",$L128))),1.5,1)</f>
        <v>0.83333333333333326</v>
      </c>
      <c r="AN128" s="17" cm="1">
        <f t="array" ref="AN128">$H128 *
IF(ISNUMBER(SEARCH("Rapid",$L128)),7/6,1) *
IF(OR(ISNUMBER(SEARCH("Beam",$L128)),ISNUMBER(SEARCH("Firestorm",$L128))),1, IF(ISNUMBER(SEARCH("Blast",$L128)),(4+$G128+(2-$G128)*0.5)/6*2,(4+$G128)/6)) *
_xlfn.IFS(AN$24-$I128 &lt;=1, 5/6, AN$24-$I128 &lt;=5, (7-(AN$24-$I128))/6, AND(AN$24-$I128 =6,NOT(_xlfn.IFNA(ISNUMBER(SEARCH("Rending",$L128)),FALSE))), (7-(AN$24-$I128))/6, AND(AN$24-$I128 &gt;=7,NOT(_xlfn.IFNA(ISNUMBER(SEARCH("Rending",$L128)),FALSE))), 0, AN$24-$I128 =7, (7-(AN$24-1-$I128))/6, AN$24-$I128 =8, (7-(AN$24-2-$I128))/6*2/3, AN$24-$I128 =9, (7-(AN$24-3-$I128))/6*1/3, TRUE, 0) *
IF(ISNUMBER(SEARCH("Ordinance",$L128)),7/6,1) *
IF(OR(ISNUMBER(SEARCH("Melee",$L128)),ISNUMBER(SEARCH("Bypass",$L128))),1.5,1)</f>
        <v>0.41666666666666663</v>
      </c>
      <c r="AO128" s="17" cm="1">
        <f t="array" ref="AO128">$H128 *
IF(ISNUMBER(SEARCH("Rapid",$L128)),7/6,1) *
IF(OR(ISNUMBER(SEARCH("Beam",$L128)),ISNUMBER(SEARCH("Firestorm",$L128))),1, IF(ISNUMBER(SEARCH("Blast",$L128)),(4+$G128+(2-$G128)*0.5)/6*2,(4+$G128)/6)) *
_xlfn.IFS(AO$24-$I128 &lt;=1, 5/6, AO$24-$I128 &lt;=5, (7-(AO$24-$I128))/6, AND(AO$24-$I128 =6,NOT(_xlfn.IFNA(ISNUMBER(SEARCH("Rending",$L128)),FALSE))), (7-(AO$24-$I128))/6, AND(AO$24-$I128 &gt;=7,NOT(_xlfn.IFNA(ISNUMBER(SEARCH("Rending",$L128)),FALSE))), 0, AO$24-$I128 =7, (7-(AO$24-1-$I128))/6, AO$24-$I128 =8, (7-(AO$24-2-$I128))/6*2/3, AO$24-$I128 =9, (7-(AO$24-3-$I128))/6*1/3, TRUE, 0) *
IF(ISNUMBER(SEARCH("Ordinance",$L128)),7/6,1) *
IF(OR(ISNUMBER(SEARCH("Melee",$L128)),ISNUMBER(SEARCH("Bypass",$L128))),1.5,1)</f>
        <v>0</v>
      </c>
      <c r="AP128" s="17" cm="1">
        <f t="array" ref="AP128">$H128 *
IF(ISNUMBER(SEARCH("Rapid",$L128)),7/6,1) *
IF(OR(ISNUMBER(SEARCH("Beam",$L128)),ISNUMBER(SEARCH("Firestorm",$L128))),1, IF(ISNUMBER(SEARCH("Blast",$L128)),(4+$G128+(2-$G128)*0.5)/6*2,(4+$G128)/6)) *
_xlfn.IFS(AP$24-$I128 &lt;=1, 5/6, AP$24-$I128 &lt;=5, (7-(AP$24-$I128))/6, AND(AP$24-$I128 =6,NOT(_xlfn.IFNA(ISNUMBER(SEARCH("Rending",$L128)),FALSE))), (7-(AP$24-$I128))/6, AND(AP$24-$I128 &gt;=7,NOT(_xlfn.IFNA(ISNUMBER(SEARCH("Rending",$L128)),FALSE))), 0, AP$24-$I128 =7, (7-(AP$24-1-$I128))/6, AP$24-$I128 =8, (7-(AP$24-2-$I128))/6*2/3, AP$24-$I128 =9, (7-(AP$24-3-$I128))/6*1/3, TRUE, 0) *
IF(ISNUMBER(SEARCH("Ordinance",$L128)),7/6,1) *
IF(OR(ISNUMBER(SEARCH("Melee",$L128)),ISNUMBER(SEARCH("Bypass",$L128))),1.5,1)</f>
        <v>0</v>
      </c>
      <c r="AQ128" s="17" cm="1">
        <f t="array" ref="AQ128">$H128 *
IF(ISNUMBER(SEARCH("Rapid",$L128)),7/6,1) *
IF(OR(ISNUMBER(SEARCH("Beam",$L128)),ISNUMBER(SEARCH("Firestorm",$L128))),1, IF(ISNUMBER(SEARCH("Blast",$L128)),(4+$G128+(2-$G128)*0.5)/6*2,(4+$G128)/6)) *
_xlfn.IFS(AQ$24-$I128 &lt;=1, 5/6, AQ$24-$I128 &lt;=5, (7-(AQ$24-$I128))/6, AND(AQ$24-$I128 =6,NOT(_xlfn.IFNA(ISNUMBER(SEARCH("Rending",$L128)),FALSE))), (7-(AQ$24-$I128))/6, AND(AQ$24-$I128 &gt;=7,NOT(_xlfn.IFNA(ISNUMBER(SEARCH("Rending",$L128)),FALSE))), 0, AQ$24-$I128 =7, (7-(AQ$24-1-$I128))/6, AQ$24-$I128 =8, (7-(AQ$24-2-$I128))/6*2/3, AQ$24-$I128 =9, (7-(AQ$24-3-$I128))/6*1/3, TRUE, 0) *
IF(ISNUMBER(SEARCH("Ordinance",$L128)),7/6,1) *
IF(OR(ISNUMBER(SEARCH("Melee",$L128)),ISNUMBER(SEARCH("Bypass",$L128))),1.5,1)</f>
        <v>0</v>
      </c>
      <c r="AS128" s="16">
        <f t="shared" si="30"/>
        <v>0.55555555555555547</v>
      </c>
      <c r="AT128" s="16">
        <f t="shared" si="31"/>
        <v>0.83333333333333337</v>
      </c>
      <c r="AU128" s="16">
        <f t="shared" si="32"/>
        <v>1.6388888888888891</v>
      </c>
      <c r="AV128" s="2">
        <v>9</v>
      </c>
    </row>
    <row r="129" spans="1:48" x14ac:dyDescent="0.3">
      <c r="A129" t="s">
        <v>562</v>
      </c>
      <c r="B129" s="3">
        <v>30</v>
      </c>
      <c r="C129" s="3">
        <v>120</v>
      </c>
      <c r="D129" s="3">
        <v>1</v>
      </c>
      <c r="E129" s="3">
        <v>2</v>
      </c>
      <c r="F129" s="10"/>
      <c r="G129" s="10">
        <v>1</v>
      </c>
      <c r="H129" s="3">
        <v>3</v>
      </c>
      <c r="I129" s="3">
        <v>4</v>
      </c>
      <c r="J129" s="3" t="s">
        <v>563</v>
      </c>
      <c r="K129" s="3">
        <v>10</v>
      </c>
      <c r="L129" s="3" t="s">
        <v>537</v>
      </c>
      <c r="M129" s="3" t="s">
        <v>199</v>
      </c>
      <c r="N129" s="3">
        <v>10</v>
      </c>
      <c r="O129" s="3">
        <v>10</v>
      </c>
      <c r="P129" s="3">
        <v>14</v>
      </c>
      <c r="Q129" s="3" t="s">
        <v>200</v>
      </c>
      <c r="R129" s="3">
        <v>7</v>
      </c>
      <c r="S129" s="3">
        <v>9</v>
      </c>
      <c r="T129" s="3">
        <v>4</v>
      </c>
      <c r="V129" s="16">
        <f t="shared" si="20"/>
        <v>0.66666666666666663</v>
      </c>
      <c r="W129" s="16">
        <f t="shared" si="21"/>
        <v>1</v>
      </c>
      <c r="X129" s="17" cm="1">
        <f t="array" ref="X129">$H129 *
IF(ISNUMBER(SEARCH("Rapid",$L129)),7/6,1) *
IF(OR(ISNUMBER(SEARCH("Beam",$L129)),ISNUMBER(SEARCH("Firestorm",$L129))),1, IF(ISNUMBER(SEARCH("Blast",$L129)),(4+$F129+(2-$F129)*0.5)/6*2,(4+$F129)/6)) *
IF(ISNUMBER(SEARCH("Fusion",$L129)), _xlfn.IFS(X$24-$I129 &lt;=1, 9/10, X$24-$I129 &lt;=10,(11-(X$24-$I129))/10, X$24-$I129 &gt;=11, 0),
_xlfn.IFS(X$24-$I129 &lt;=1, 5/6, X$24-$I129 &lt;=5, (7-(X$24-$I129))/6, AND(X$24-$I129 =6,NOT(_xlfn.IFNA(ISNUMBER(SEARCH("Rending",$L129)),FALSE))), (7-(X$24-$I129))/6, AND(X$24-$I129 &gt;=7,NOT(_xlfn.IFNA(ISNUMBER(SEARCH("Rending",$L129)),FALSE))), 0, X$24-$I129 =7, (7-(X$24-1-$I129))/6, X$24-$I129 =8, (7-(X$24-2-$I129))/6*2/3, X$24-$I129 =9, (7-(X$24-3-$I129))/6*1/3, TRUE, 0)) *
IF(ISNUMBER(SEARCH("Ordinance",$L129)),7/6,1) *
IF(OR(ISNUMBER(SEARCH("Melee",$L129)),ISNUMBER(SEARCH("Bypass",$L129))),1.5,1)</f>
        <v>0.66666666666666663</v>
      </c>
      <c r="Y129" s="17" cm="1">
        <f t="array" ref="Y129">$H129 *
IF(ISNUMBER(SEARCH("Rapid",$L129)),7/6,1) *
IF(OR(ISNUMBER(SEARCH("Beam",$L129)),ISNUMBER(SEARCH("Firestorm",$L129))),1, IF(ISNUMBER(SEARCH("Blast",$L129)),(4+$F129+(2-$F129)*0.5)/6*2,(4+$F129)/6)) *
IF(ISNUMBER(SEARCH("Fusion",$L129)), _xlfn.IFS(Y$24-$I129 &lt;=1, 9/10, Y$24-$I129 &lt;=10,(11-(Y$24-$I129))/10, Y$24-$I129 &gt;=11, 0),
_xlfn.IFS(Y$24-$I129 &lt;=1, 5/6, Y$24-$I129 &lt;=5, (7-(Y$24-$I129))/6, AND(Y$24-$I129 =6,NOT(_xlfn.IFNA(ISNUMBER(SEARCH("Rending",$L129)),FALSE))), (7-(Y$24-$I129))/6, AND(Y$24-$I129 &gt;=7,NOT(_xlfn.IFNA(ISNUMBER(SEARCH("Rending",$L129)),FALSE))), 0, Y$24-$I129 =7, (7-(Y$24-1-$I129))/6, Y$24-$I129 =8, (7-(Y$24-2-$I129))/6*2/3, Y$24-$I129 =9, (7-(Y$24-3-$I129))/6*1/3, TRUE, 0)) *
IF(ISNUMBER(SEARCH("Ordinance",$L129)),7/6,1) *
IF(OR(ISNUMBER(SEARCH("Melee",$L129)),ISNUMBER(SEARCH("Bypass",$L129))),1.5,1)</f>
        <v>0.33333333333333331</v>
      </c>
      <c r="Z129" s="17" cm="1">
        <f t="array" ref="Z129">$H129 *
IF(ISNUMBER(SEARCH("Rapid",$L129)),7/6,1) *
IF(OR(ISNUMBER(SEARCH("Beam",$L129)),ISNUMBER(SEARCH("Firestorm",$L129))),1, IF(ISNUMBER(SEARCH("Blast",$L129)),(4+$F129+(2-$F129)*0.5)/6*2,(4+$F129)/6)) *
IF(ISNUMBER(SEARCH("Fusion",$L129)), _xlfn.IFS(Z$24-$I129 &lt;=1, 9/10, Z$24-$I129 &lt;=10,(11-(Z$24-$I129))/10, Z$24-$I129 &gt;=11, 0),
_xlfn.IFS(Z$24-$I129 &lt;=1, 5/6, Z$24-$I129 &lt;=5, (7-(Z$24-$I129))/6, AND(Z$24-$I129 =6,NOT(_xlfn.IFNA(ISNUMBER(SEARCH("Rending",$L129)),FALSE))), (7-(Z$24-$I129))/6, AND(Z$24-$I129 &gt;=7,NOT(_xlfn.IFNA(ISNUMBER(SEARCH("Rending",$L129)),FALSE))), 0, Z$24-$I129 =7, (7-(Z$24-1-$I129))/6, Z$24-$I129 =8, (7-(Z$24-2-$I129))/6*2/3, Z$24-$I129 =9, (7-(Z$24-3-$I129))/6*1/3, TRUE, 0)) *
IF(ISNUMBER(SEARCH("Ordinance",$L129)),7/6,1) *
IF(OR(ISNUMBER(SEARCH("Melee",$L129)),ISNUMBER(SEARCH("Bypass",$L129))),1.5,1)</f>
        <v>0</v>
      </c>
      <c r="AA129" s="17" cm="1">
        <f t="array" ref="AA129">$H129 *
IF(ISNUMBER(SEARCH("Rapid",$L129)),7/6,1) *
IF(OR(ISNUMBER(SEARCH("Beam",$L129)),ISNUMBER(SEARCH("Firestorm",$L129))),1, IF(ISNUMBER(SEARCH("Blast",$L129)),(4+$F129+(2-$F129)*0.5)/6*2,(4+$F129)/6)) *
IF(ISNUMBER(SEARCH("Fusion",$L129)), _xlfn.IFS(AA$24-$I129 &lt;=1, 9/10, AA$24-$I129 &lt;=10,(11-(AA$24-$I129))/10, AA$24-$I129 &gt;=11, 0),
_xlfn.IFS(AA$24-$I129 &lt;=1, 5/6, AA$24-$I129 &lt;=5, (7-(AA$24-$I129))/6, AND(AA$24-$I129 =6,NOT(_xlfn.IFNA(ISNUMBER(SEARCH("Rending",$L129)),FALSE))), (7-(AA$24-$I129))/6, AND(AA$24-$I129 &gt;=7,NOT(_xlfn.IFNA(ISNUMBER(SEARCH("Rending",$L129)),FALSE))), 0, AA$24-$I129 =7, (7-(AA$24-1-$I129))/6, AA$24-$I129 =8, (7-(AA$24-2-$I129))/6*2/3, AA$24-$I129 =9, (7-(AA$24-3-$I129))/6*1/3, TRUE, 0)) *
IF(ISNUMBER(SEARCH("Ordinance",$L129)),7/6,1) *
IF(OR(ISNUMBER(SEARCH("Melee",$L129)),ISNUMBER(SEARCH("Bypass",$L129))),1.5,1)</f>
        <v>0</v>
      </c>
      <c r="AB129" s="17" cm="1">
        <f t="array" ref="AB129">$H129 *
IF(ISNUMBER(SEARCH("Rapid",$L129)),7/6,1) *
IF(OR(ISNUMBER(SEARCH("Beam",$L129)),ISNUMBER(SEARCH("Firestorm",$L129))),1, IF(ISNUMBER(SEARCH("Blast",$L129)),(4+$F129+(2-$F129)*0.5)/6*2,(4+$F129)/6)) *
IF(ISNUMBER(SEARCH("Fusion",$L129)), _xlfn.IFS(AB$24-$I129 &lt;=1, 9/10, AB$24-$I129 &lt;=10,(11-(AB$24-$I129))/10, AB$24-$I129 &gt;=11, 0),
_xlfn.IFS(AB$24-$I129 &lt;=1, 5/6, AB$24-$I129 &lt;=5, (7-(AB$24-$I129))/6, AND(AB$24-$I129 =6,NOT(_xlfn.IFNA(ISNUMBER(SEARCH("Rending",$L129)),FALSE))), (7-(AB$24-$I129))/6, AND(AB$24-$I129 &gt;=7,NOT(_xlfn.IFNA(ISNUMBER(SEARCH("Rending",$L129)),FALSE))), 0, AB$24-$I129 =7, (7-(AB$24-1-$I129))/6, AB$24-$I129 =8, (7-(AB$24-2-$I129))/6*2/3, AB$24-$I129 =9, (7-(AB$24-3-$I129))/6*1/3, TRUE, 0)) *
IF(ISNUMBER(SEARCH("Ordinance",$L129)),7/6,1) *
IF(OR(ISNUMBER(SEARCH("Melee",$L129)),ISNUMBER(SEARCH("Bypass",$L129))),1.5,1)</f>
        <v>0</v>
      </c>
      <c r="AC129" s="17" cm="1">
        <f t="array" ref="AC129">$H129 *
IF(ISNUMBER(SEARCH("Rapid",$L129)),7/6,1) *
IF(OR(ISNUMBER(SEARCH("Beam",$L129)),ISNUMBER(SEARCH("Firestorm",$L129))),1, IF(ISNUMBER(SEARCH("Blast",$L129)),(4+$F129+(2-$F129)*0.5)/6*2,(4+$F129)/6)) *
IF(ISNUMBER(SEARCH("Fusion",$L129)), _xlfn.IFS(AC$24-$I129 &lt;=1, 9/10, AC$24-$I129 &lt;=10,(11-(AC$24-$I129))/10, AC$24-$I129 &gt;=11, 0),
_xlfn.IFS(AC$24-$I129 &lt;=1, 5/6, AC$24-$I129 &lt;=5, (7-(AC$24-$I129))/6, AND(AC$24-$I129 =6,NOT(_xlfn.IFNA(ISNUMBER(SEARCH("Rending",$L129)),FALSE))), (7-(AC$24-$I129))/6, AND(AC$24-$I129 &gt;=7,NOT(_xlfn.IFNA(ISNUMBER(SEARCH("Rending",$L129)),FALSE))), 0, AC$24-$I129 =7, (7-(AC$24-1-$I129))/6, AC$24-$I129 =8, (7-(AC$24-2-$I129))/6*2/3, AC$24-$I129 =9, (7-(AC$24-3-$I129))/6*1/3, TRUE, 0)) *
IF(ISNUMBER(SEARCH("Ordinance",$L129)),7/6,1) *
IF(OR(ISNUMBER(SEARCH("Melee",$L129)),ISNUMBER(SEARCH("Bypass",$L129))),1.5,1)</f>
        <v>0</v>
      </c>
      <c r="AD129" s="17" cm="1">
        <f t="array" ref="AD129">$H129 *
IF(ISNUMBER(SEARCH("Rapid",$L129)),7/6,1) *
IF(OR(ISNUMBER(SEARCH("Beam",$L129)),ISNUMBER(SEARCH("Firestorm",$L129))),1, IF(ISNUMBER(SEARCH("Blast",$L129)),(4+$F129+(2-$F129)*0.5)/6*2,(4+$F129)/6)) *
IF(ISNUMBER(SEARCH("Fusion",$L129)), _xlfn.IFS(AD$24-$I129 &lt;=1, 9/10, AD$24-$I129 &lt;=10,(11-(AD$24-$I129))/10, AD$24-$I129 &gt;=11, 0),
_xlfn.IFS(AD$24-$I129 &lt;=1, 5/6, AD$24-$I129 &lt;=5, (7-(AD$24-$I129))/6, AND(AD$24-$I129 =6,NOT(_xlfn.IFNA(ISNUMBER(SEARCH("Rending",$L129)),FALSE))), (7-(AD$24-$I129))/6, AND(AD$24-$I129 &gt;=7,NOT(_xlfn.IFNA(ISNUMBER(SEARCH("Rending",$L129)),FALSE))), 0, AD$24-$I129 =7, (7-(AD$24-1-$I129))/6, AD$24-$I129 =8, (7-(AD$24-2-$I129))/6*2/3, AD$24-$I129 =9, (7-(AD$24-3-$I129))/6*1/3, TRUE, 0)) *
IF(ISNUMBER(SEARCH("Ordinance",$L129)),7/6,1) *
IF(OR(ISNUMBER(SEARCH("Melee",$L129)),ISNUMBER(SEARCH("Bypass",$L129))),1.5,1)</f>
        <v>0</v>
      </c>
      <c r="AE129" s="17" cm="1">
        <f t="array" ref="AE129">$H129 *
IF(ISNUMBER(SEARCH("Rapid",$L129)),7/6,1) *
IF(OR(ISNUMBER(SEARCH("Beam",$L129)),ISNUMBER(SEARCH("Firestorm",$L129))),1, IF(ISNUMBER(SEARCH("Blast",$L129)),(4+$F129+(2-$F129)*0.5)/6*2,(4+$F129)/6)) *
IF(ISNUMBER(SEARCH("Fusion",$L129)), _xlfn.IFS(AE$24-$I129 &lt;=1, 9/10, AE$24-$I129 &lt;=10,(11-(AE$24-$I129))/10, AE$24-$I129 &gt;=11, 0),
_xlfn.IFS(AE$24-$I129 &lt;=1, 5/6, AE$24-$I129 &lt;=5, (7-(AE$24-$I129))/6, AND(AE$24-$I129 =6,NOT(_xlfn.IFNA(ISNUMBER(SEARCH("Rending",$L129)),FALSE))), (7-(AE$24-$I129))/6, AND(AE$24-$I129 &gt;=7,NOT(_xlfn.IFNA(ISNUMBER(SEARCH("Rending",$L129)),FALSE))), 0, AE$24-$I129 =7, (7-(AE$24-1-$I129))/6, AE$24-$I129 =8, (7-(AE$24-2-$I129))/6*2/3, AE$24-$I129 =9, (7-(AE$24-3-$I129))/6*1/3, TRUE, 0)) *
IF(ISNUMBER(SEARCH("Ordinance",$L129)),7/6,1) *
IF(OR(ISNUMBER(SEARCH("Melee",$L129)),ISNUMBER(SEARCH("Bypass",$L129))),1.5,1)</f>
        <v>0</v>
      </c>
      <c r="AF129" s="17" cm="1">
        <f t="array" ref="AF129">$H129 *
IF(ISNUMBER(SEARCH("Rapid",$L129)),7/6,1) *
IF(OR(ISNUMBER(SEARCH("Beam",$L129)),ISNUMBER(SEARCH("Firestorm",$L129))),1, IF(ISNUMBER(SEARCH("Blast",$L129)),(4+$F129+(2-$F129)*0.5)/6*2,(4+$F129)/6)) *
IF(ISNUMBER(SEARCH("Fusion",$L129)), _xlfn.IFS(AF$24-$I129 &lt;=1, 9/10, AF$24-$I129 &lt;=10,(11-(AF$24-$I129))/10, AF$24-$I129 &gt;=11, 0),
_xlfn.IFS(AF$24-$I129 &lt;=1, 5/6, AF$24-$I129 &lt;=5, (7-(AF$24-$I129))/6, AND(AF$24-$I129 =6,NOT(_xlfn.IFNA(ISNUMBER(SEARCH("Rending",$L129)),FALSE))), (7-(AF$24-$I129))/6, AND(AF$24-$I129 &gt;=7,NOT(_xlfn.IFNA(ISNUMBER(SEARCH("Rending",$L129)),FALSE))), 0, AF$24-$I129 =7, (7-(AF$24-1-$I129))/6, AF$24-$I129 =8, (7-(AF$24-2-$I129))/6*2/3, AF$24-$I129 =9, (7-(AF$24-3-$I129))/6*1/3, TRUE, 0)) *
IF(ISNUMBER(SEARCH("Ordinance",$L129)),7/6,1) *
IF(OR(ISNUMBER(SEARCH("Melee",$L129)),ISNUMBER(SEARCH("Bypass",$L129))),1.5,1)</f>
        <v>0</v>
      </c>
      <c r="AG129" s="16">
        <f t="shared" si="22"/>
        <v>0.83333333333333326</v>
      </c>
      <c r="AH129" s="16">
        <f t="shared" si="23"/>
        <v>1.25</v>
      </c>
      <c r="AI129" s="17" cm="1">
        <f t="array" ref="AI129">$H129 *
IF(ISNUMBER(SEARCH("Rapid",$L129)),7/6,1) *
IF(OR(ISNUMBER(SEARCH("Beam",$L129)),ISNUMBER(SEARCH("Firestorm",$L129))),1, IF(ISNUMBER(SEARCH("Blast",$L129)),(4+$G129+(2-$G129)*0.5)/6*2,(4+$G129)/6)) *
_xlfn.IFS(AI$24-$I129 &lt;=1, 5/6, AI$24-$I129 &lt;=5, (7-(AI$24-$I129))/6, AND(AI$24-$I129 =6,NOT(_xlfn.IFNA(ISNUMBER(SEARCH("Rending",$L129)),FALSE))), (7-(AI$24-$I129))/6, AND(AI$24-$I129 &gt;=7,NOT(_xlfn.IFNA(ISNUMBER(SEARCH("Rending",$L129)),FALSE))), 0, AI$24-$I129 =7, (7-(AI$24-1-$I129))/6, AI$24-$I129 =8, (7-(AI$24-2-$I129))/6*2/3, AI$24-$I129 =9, (7-(AI$24-3-$I129))/6*1/3, TRUE, 0) *
IF(ISNUMBER(SEARCH("Ordinance",$L129)),7/6,1) *
IF(OR(ISNUMBER(SEARCH("Melee",$L129)),ISNUMBER(SEARCH("Bypass",$L129))),1.5,1)</f>
        <v>0.83333333333333326</v>
      </c>
      <c r="AJ129" s="17" cm="1">
        <f t="array" ref="AJ129">$H129 *
IF(ISNUMBER(SEARCH("Rapid",$L129)),7/6,1) *
IF(OR(ISNUMBER(SEARCH("Beam",$L129)),ISNUMBER(SEARCH("Firestorm",$L129))),1, IF(ISNUMBER(SEARCH("Blast",$L129)),(4+$G129+(2-$G129)*0.5)/6*2,(4+$G129)/6)) *
_xlfn.IFS(AJ$24-$I129 &lt;=1, 5/6, AJ$24-$I129 &lt;=5, (7-(AJ$24-$I129))/6, AND(AJ$24-$I129 =6,NOT(_xlfn.IFNA(ISNUMBER(SEARCH("Rending",$L129)),FALSE))), (7-(AJ$24-$I129))/6, AND(AJ$24-$I129 &gt;=7,NOT(_xlfn.IFNA(ISNUMBER(SEARCH("Rending",$L129)),FALSE))), 0, AJ$24-$I129 =7, (7-(AJ$24-1-$I129))/6, AJ$24-$I129 =8, (7-(AJ$24-2-$I129))/6*2/3, AJ$24-$I129 =9, (7-(AJ$24-3-$I129))/6*1/3, TRUE, 0) *
IF(ISNUMBER(SEARCH("Ordinance",$L129)),7/6,1) *
IF(OR(ISNUMBER(SEARCH("Melee",$L129)),ISNUMBER(SEARCH("Bypass",$L129))),1.5,1)</f>
        <v>0.41666666666666663</v>
      </c>
      <c r="AK129" s="17" cm="1">
        <f t="array" ref="AK129">$H129 *
IF(ISNUMBER(SEARCH("Rapid",$L129)),7/6,1) *
IF(OR(ISNUMBER(SEARCH("Beam",$L129)),ISNUMBER(SEARCH("Firestorm",$L129))),1, IF(ISNUMBER(SEARCH("Blast",$L129)),(4+$G129+(2-$G129)*0.5)/6*2,(4+$G129)/6)) *
_xlfn.IFS(AK$24-$I129 &lt;=1, 5/6, AK$24-$I129 &lt;=5, (7-(AK$24-$I129))/6, AND(AK$24-$I129 =6,NOT(_xlfn.IFNA(ISNUMBER(SEARCH("Rending",$L129)),FALSE))), (7-(AK$24-$I129))/6, AND(AK$24-$I129 &gt;=7,NOT(_xlfn.IFNA(ISNUMBER(SEARCH("Rending",$L129)),FALSE))), 0, AK$24-$I129 =7, (7-(AK$24-1-$I129))/6, AK$24-$I129 =8, (7-(AK$24-2-$I129))/6*2/3, AK$24-$I129 =9, (7-(AK$24-3-$I129))/6*1/3, TRUE, 0) *
IF(ISNUMBER(SEARCH("Ordinance",$L129)),7/6,1) *
IF(OR(ISNUMBER(SEARCH("Melee",$L129)),ISNUMBER(SEARCH("Bypass",$L129))),1.5,1)</f>
        <v>0</v>
      </c>
      <c r="AL129" s="17" cm="1">
        <f t="array" ref="AL129">$H129 *
IF(ISNUMBER(SEARCH("Rapid",$L129)),7/6,1) *
IF(OR(ISNUMBER(SEARCH("Beam",$L129)),ISNUMBER(SEARCH("Firestorm",$L129))),1, IF(ISNUMBER(SEARCH("Blast",$L129)),(4+$G129+(2-$G129)*0.5)/6*2,(4+$G129)/6)) *
_xlfn.IFS(AL$24-$I129 &lt;=1, 5/6, AL$24-$I129 &lt;=5, (7-(AL$24-$I129))/6, AND(AL$24-$I129 =6,NOT(_xlfn.IFNA(ISNUMBER(SEARCH("Rending",$L129)),FALSE))), (7-(AL$24-$I129))/6, AND(AL$24-$I129 &gt;=7,NOT(_xlfn.IFNA(ISNUMBER(SEARCH("Rending",$L129)),FALSE))), 0, AL$24-$I129 =7, (7-(AL$24-1-$I129))/6, AL$24-$I129 =8, (7-(AL$24-2-$I129))/6*2/3, AL$24-$I129 =9, (7-(AL$24-3-$I129))/6*1/3, TRUE, 0) *
IF(ISNUMBER(SEARCH("Ordinance",$L129)),7/6,1) *
IF(OR(ISNUMBER(SEARCH("Melee",$L129)),ISNUMBER(SEARCH("Bypass",$L129))),1.5,1)</f>
        <v>0</v>
      </c>
      <c r="AM129" s="17" cm="1">
        <f t="array" ref="AM129">$H129 *
IF(ISNUMBER(SEARCH("Rapid",$L129)),7/6,1) *
IF(OR(ISNUMBER(SEARCH("Beam",$L129)),ISNUMBER(SEARCH("Firestorm",$L129))),1, IF(ISNUMBER(SEARCH("Blast",$L129)),(4+$G129+(2-$G129)*0.5)/6*2,(4+$G129)/6)) *
_xlfn.IFS(AM$24-$I129 &lt;=1, 5/6, AM$24-$I129 &lt;=5, (7-(AM$24-$I129))/6, AND(AM$24-$I129 =6,NOT(_xlfn.IFNA(ISNUMBER(SEARCH("Rending",$L129)),FALSE))), (7-(AM$24-$I129))/6, AND(AM$24-$I129 &gt;=7,NOT(_xlfn.IFNA(ISNUMBER(SEARCH("Rending",$L129)),FALSE))), 0, AM$24-$I129 =7, (7-(AM$24-1-$I129))/6, AM$24-$I129 =8, (7-(AM$24-2-$I129))/6*2/3, AM$24-$I129 =9, (7-(AM$24-3-$I129))/6*1/3, TRUE, 0) *
IF(ISNUMBER(SEARCH("Ordinance",$L129)),7/6,1) *
IF(OR(ISNUMBER(SEARCH("Melee",$L129)),ISNUMBER(SEARCH("Bypass",$L129))),1.5,1)</f>
        <v>0</v>
      </c>
      <c r="AN129" s="17" cm="1">
        <f t="array" ref="AN129">$H129 *
IF(ISNUMBER(SEARCH("Rapid",$L129)),7/6,1) *
IF(OR(ISNUMBER(SEARCH("Beam",$L129)),ISNUMBER(SEARCH("Firestorm",$L129))),1, IF(ISNUMBER(SEARCH("Blast",$L129)),(4+$G129+(2-$G129)*0.5)/6*2,(4+$G129)/6)) *
_xlfn.IFS(AN$24-$I129 &lt;=1, 5/6, AN$24-$I129 &lt;=5, (7-(AN$24-$I129))/6, AND(AN$24-$I129 =6,NOT(_xlfn.IFNA(ISNUMBER(SEARCH("Rending",$L129)),FALSE))), (7-(AN$24-$I129))/6, AND(AN$24-$I129 &gt;=7,NOT(_xlfn.IFNA(ISNUMBER(SEARCH("Rending",$L129)),FALSE))), 0, AN$24-$I129 =7, (7-(AN$24-1-$I129))/6, AN$24-$I129 =8, (7-(AN$24-2-$I129))/6*2/3, AN$24-$I129 =9, (7-(AN$24-3-$I129))/6*1/3, TRUE, 0) *
IF(ISNUMBER(SEARCH("Ordinance",$L129)),7/6,1) *
IF(OR(ISNUMBER(SEARCH("Melee",$L129)),ISNUMBER(SEARCH("Bypass",$L129))),1.5,1)</f>
        <v>0</v>
      </c>
      <c r="AO129" s="17" cm="1">
        <f t="array" ref="AO129">$H129 *
IF(ISNUMBER(SEARCH("Rapid",$L129)),7/6,1) *
IF(OR(ISNUMBER(SEARCH("Beam",$L129)),ISNUMBER(SEARCH("Firestorm",$L129))),1, IF(ISNUMBER(SEARCH("Blast",$L129)),(4+$G129+(2-$G129)*0.5)/6*2,(4+$G129)/6)) *
_xlfn.IFS(AO$24-$I129 &lt;=1, 5/6, AO$24-$I129 &lt;=5, (7-(AO$24-$I129))/6, AND(AO$24-$I129 =6,NOT(_xlfn.IFNA(ISNUMBER(SEARCH("Rending",$L129)),FALSE))), (7-(AO$24-$I129))/6, AND(AO$24-$I129 &gt;=7,NOT(_xlfn.IFNA(ISNUMBER(SEARCH("Rending",$L129)),FALSE))), 0, AO$24-$I129 =7, (7-(AO$24-1-$I129))/6, AO$24-$I129 =8, (7-(AO$24-2-$I129))/6*2/3, AO$24-$I129 =9, (7-(AO$24-3-$I129))/6*1/3, TRUE, 0) *
IF(ISNUMBER(SEARCH("Ordinance",$L129)),7/6,1) *
IF(OR(ISNUMBER(SEARCH("Melee",$L129)),ISNUMBER(SEARCH("Bypass",$L129))),1.5,1)</f>
        <v>0</v>
      </c>
      <c r="AP129" s="17" cm="1">
        <f t="array" ref="AP129">$H129 *
IF(ISNUMBER(SEARCH("Rapid",$L129)),7/6,1) *
IF(OR(ISNUMBER(SEARCH("Beam",$L129)),ISNUMBER(SEARCH("Firestorm",$L129))),1, IF(ISNUMBER(SEARCH("Blast",$L129)),(4+$G129+(2-$G129)*0.5)/6*2,(4+$G129)/6)) *
_xlfn.IFS(AP$24-$I129 &lt;=1, 5/6, AP$24-$I129 &lt;=5, (7-(AP$24-$I129))/6, AND(AP$24-$I129 =6,NOT(_xlfn.IFNA(ISNUMBER(SEARCH("Rending",$L129)),FALSE))), (7-(AP$24-$I129))/6, AND(AP$24-$I129 &gt;=7,NOT(_xlfn.IFNA(ISNUMBER(SEARCH("Rending",$L129)),FALSE))), 0, AP$24-$I129 =7, (7-(AP$24-1-$I129))/6, AP$24-$I129 =8, (7-(AP$24-2-$I129))/6*2/3, AP$24-$I129 =9, (7-(AP$24-3-$I129))/6*1/3, TRUE, 0) *
IF(ISNUMBER(SEARCH("Ordinance",$L129)),7/6,1) *
IF(OR(ISNUMBER(SEARCH("Melee",$L129)),ISNUMBER(SEARCH("Bypass",$L129))),1.5,1)</f>
        <v>0</v>
      </c>
      <c r="AQ129" s="17" cm="1">
        <f t="array" ref="AQ129">$H129 *
IF(ISNUMBER(SEARCH("Rapid",$L129)),7/6,1) *
IF(OR(ISNUMBER(SEARCH("Beam",$L129)),ISNUMBER(SEARCH("Firestorm",$L129))),1, IF(ISNUMBER(SEARCH("Blast",$L129)),(4+$G129+(2-$G129)*0.5)/6*2,(4+$G129)/6)) *
_xlfn.IFS(AQ$24-$I129 &lt;=1, 5/6, AQ$24-$I129 &lt;=5, (7-(AQ$24-$I129))/6, AND(AQ$24-$I129 =6,NOT(_xlfn.IFNA(ISNUMBER(SEARCH("Rending",$L129)),FALSE))), (7-(AQ$24-$I129))/6, AND(AQ$24-$I129 &gt;=7,NOT(_xlfn.IFNA(ISNUMBER(SEARCH("Rending",$L129)),FALSE))), 0, AQ$24-$I129 =7, (7-(AQ$24-1-$I129))/6, AQ$24-$I129 =8, (7-(AQ$24-2-$I129))/6*2/3, AQ$24-$I129 =9, (7-(AQ$24-3-$I129))/6*1/3, TRUE, 0) *
IF(ISNUMBER(SEARCH("Ordinance",$L129)),7/6,1) *
IF(OR(ISNUMBER(SEARCH("Melee",$L129)),ISNUMBER(SEARCH("Bypass",$L129))),1.5,1)</f>
        <v>0</v>
      </c>
      <c r="AS129" s="16">
        <f t="shared" si="30"/>
        <v>0.55555555555555547</v>
      </c>
      <c r="AT129" s="16">
        <f t="shared" si="31"/>
        <v>0.83333333333333337</v>
      </c>
      <c r="AU129" s="16">
        <f t="shared" si="32"/>
        <v>0.65555555555555556</v>
      </c>
      <c r="AV129" s="2">
        <v>8</v>
      </c>
    </row>
    <row r="130" spans="1:48" x14ac:dyDescent="0.3">
      <c r="A130" t="s">
        <v>174</v>
      </c>
      <c r="B130" s="3" t="s">
        <v>154</v>
      </c>
      <c r="C130" s="8" t="s">
        <v>154</v>
      </c>
      <c r="D130" s="8">
        <v>2</v>
      </c>
      <c r="E130" s="8"/>
      <c r="F130" s="9">
        <v>0</v>
      </c>
      <c r="G130" s="9">
        <v>0</v>
      </c>
      <c r="H130" s="46">
        <v>6</v>
      </c>
      <c r="I130" s="3">
        <v>7</v>
      </c>
      <c r="J130" s="3" t="s">
        <v>563</v>
      </c>
      <c r="K130" s="3">
        <v>25</v>
      </c>
      <c r="L130" s="3" t="s">
        <v>288</v>
      </c>
      <c r="M130" s="3" t="s">
        <v>199</v>
      </c>
      <c r="N130" s="3">
        <v>10</v>
      </c>
      <c r="O130" s="3">
        <v>10</v>
      </c>
      <c r="P130" s="3">
        <v>14</v>
      </c>
      <c r="Q130" s="3" t="s">
        <v>200</v>
      </c>
      <c r="R130" s="3">
        <v>7</v>
      </c>
      <c r="S130" s="3">
        <v>9</v>
      </c>
      <c r="T130" s="3">
        <v>4</v>
      </c>
      <c r="V130" s="16">
        <f t="shared" si="20"/>
        <v>2</v>
      </c>
      <c r="W130" s="16">
        <f t="shared" si="21"/>
        <v>3</v>
      </c>
      <c r="X130" s="17" cm="1">
        <f t="array" ref="X130">$H130 *
IF(ISNUMBER(SEARCH("Rapid",$L130)),7/6,1) *
IF(OR(ISNUMBER(SEARCH("Beam",$L130)),ISNUMBER(SEARCH("Firestorm",$L130))),1, IF(ISNUMBER(SEARCH("Blast",$L130)),(4+$F130+(2-$F130)*0.5)/6*2,(4+$F130)/6)) *
IF(ISNUMBER(SEARCH("Fusion",$L130)), _xlfn.IFS(X$24-$I130 &lt;=1, 9/10, X$24-$I130 &lt;=10,(11-(X$24-$I130))/10, X$24-$I130 &gt;=11, 0),
_xlfn.IFS(X$24-$I130 &lt;=1, 5/6, X$24-$I130 &lt;=5, (7-(X$24-$I130))/6, AND(X$24-$I130 =6,NOT(_xlfn.IFNA(ISNUMBER(SEARCH("Rending",$L130)),FALSE))), (7-(X$24-$I130))/6, AND(X$24-$I130 &gt;=7,NOT(_xlfn.IFNA(ISNUMBER(SEARCH("Rending",$L130)),FALSE))), 0, X$24-$I130 =7, (7-(X$24-1-$I130))/6, X$24-$I130 =8, (7-(X$24-2-$I130))/6*2/3, X$24-$I130 =9, (7-(X$24-3-$I130))/6*1/3, TRUE, 0)) *
IF(ISNUMBER(SEARCH("Ordinance",$L130)),7/6,1) *
IF(OR(ISNUMBER(SEARCH("Melee",$L130)),ISNUMBER(SEARCH("Bypass",$L130))),1.5,1)</f>
        <v>5</v>
      </c>
      <c r="Y130" s="17" cm="1">
        <f t="array" ref="Y130">$H130 *
IF(ISNUMBER(SEARCH("Rapid",$L130)),7/6,1) *
IF(OR(ISNUMBER(SEARCH("Beam",$L130)),ISNUMBER(SEARCH("Firestorm",$L130))),1, IF(ISNUMBER(SEARCH("Blast",$L130)),(4+$F130+(2-$F130)*0.5)/6*2,(4+$F130)/6)) *
IF(ISNUMBER(SEARCH("Fusion",$L130)), _xlfn.IFS(Y$24-$I130 &lt;=1, 9/10, Y$24-$I130 &lt;=10,(11-(Y$24-$I130))/10, Y$24-$I130 &gt;=11, 0),
_xlfn.IFS(Y$24-$I130 &lt;=1, 5/6, Y$24-$I130 &lt;=5, (7-(Y$24-$I130))/6, AND(Y$24-$I130 =6,NOT(_xlfn.IFNA(ISNUMBER(SEARCH("Rending",$L130)),FALSE))), (7-(Y$24-$I130))/6, AND(Y$24-$I130 &gt;=7,NOT(_xlfn.IFNA(ISNUMBER(SEARCH("Rending",$L130)),FALSE))), 0, Y$24-$I130 =7, (7-(Y$24-1-$I130))/6, Y$24-$I130 =8, (7-(Y$24-2-$I130))/6*2/3, Y$24-$I130 =9, (7-(Y$24-3-$I130))/6*1/3, TRUE, 0)) *
IF(ISNUMBER(SEARCH("Ordinance",$L130)),7/6,1) *
IF(OR(ISNUMBER(SEARCH("Melee",$L130)),ISNUMBER(SEARCH("Bypass",$L130))),1.5,1)</f>
        <v>4</v>
      </c>
      <c r="Z130" s="17" cm="1">
        <f t="array" ref="Z130">$H130 *
IF(ISNUMBER(SEARCH("Rapid",$L130)),7/6,1) *
IF(OR(ISNUMBER(SEARCH("Beam",$L130)),ISNUMBER(SEARCH("Firestorm",$L130))),1, IF(ISNUMBER(SEARCH("Blast",$L130)),(4+$F130+(2-$F130)*0.5)/6*2,(4+$F130)/6)) *
IF(ISNUMBER(SEARCH("Fusion",$L130)), _xlfn.IFS(Z$24-$I130 &lt;=1, 9/10, Z$24-$I130 &lt;=10,(11-(Z$24-$I130))/10, Z$24-$I130 &gt;=11, 0),
_xlfn.IFS(Z$24-$I130 &lt;=1, 5/6, Z$24-$I130 &lt;=5, (7-(Z$24-$I130))/6, AND(Z$24-$I130 =6,NOT(_xlfn.IFNA(ISNUMBER(SEARCH("Rending",$L130)),FALSE))), (7-(Z$24-$I130))/6, AND(Z$24-$I130 &gt;=7,NOT(_xlfn.IFNA(ISNUMBER(SEARCH("Rending",$L130)),FALSE))), 0, Z$24-$I130 =7, (7-(Z$24-1-$I130))/6, Z$24-$I130 =8, (7-(Z$24-2-$I130))/6*2/3, Z$24-$I130 =9, (7-(Z$24-3-$I130))/6*1/3, TRUE, 0)) *
IF(ISNUMBER(SEARCH("Ordinance",$L130)),7/6,1) *
IF(OR(ISNUMBER(SEARCH("Melee",$L130)),ISNUMBER(SEARCH("Bypass",$L130))),1.5,1)</f>
        <v>3</v>
      </c>
      <c r="AA130" s="17" cm="1">
        <f t="array" ref="AA130">$H130 *
IF(ISNUMBER(SEARCH("Rapid",$L130)),7/6,1) *
IF(OR(ISNUMBER(SEARCH("Beam",$L130)),ISNUMBER(SEARCH("Firestorm",$L130))),1, IF(ISNUMBER(SEARCH("Blast",$L130)),(4+$F130+(2-$F130)*0.5)/6*2,(4+$F130)/6)) *
IF(ISNUMBER(SEARCH("Fusion",$L130)), _xlfn.IFS(AA$24-$I130 &lt;=1, 9/10, AA$24-$I130 &lt;=10,(11-(AA$24-$I130))/10, AA$24-$I130 &gt;=11, 0),
_xlfn.IFS(AA$24-$I130 &lt;=1, 5/6, AA$24-$I130 &lt;=5, (7-(AA$24-$I130))/6, AND(AA$24-$I130 =6,NOT(_xlfn.IFNA(ISNUMBER(SEARCH("Rending",$L130)),FALSE))), (7-(AA$24-$I130))/6, AND(AA$24-$I130 &gt;=7,NOT(_xlfn.IFNA(ISNUMBER(SEARCH("Rending",$L130)),FALSE))), 0, AA$24-$I130 =7, (7-(AA$24-1-$I130))/6, AA$24-$I130 =8, (7-(AA$24-2-$I130))/6*2/3, AA$24-$I130 =9, (7-(AA$24-3-$I130))/6*1/3, TRUE, 0)) *
IF(ISNUMBER(SEARCH("Ordinance",$L130)),7/6,1) *
IF(OR(ISNUMBER(SEARCH("Melee",$L130)),ISNUMBER(SEARCH("Bypass",$L130))),1.5,1)</f>
        <v>2</v>
      </c>
      <c r="AB130" s="17" cm="1">
        <f t="array" ref="AB130">$H130 *
IF(ISNUMBER(SEARCH("Rapid",$L130)),7/6,1) *
IF(OR(ISNUMBER(SEARCH("Beam",$L130)),ISNUMBER(SEARCH("Firestorm",$L130))),1, IF(ISNUMBER(SEARCH("Blast",$L130)),(4+$F130+(2-$F130)*0.5)/6*2,(4+$F130)/6)) *
IF(ISNUMBER(SEARCH("Fusion",$L130)), _xlfn.IFS(AB$24-$I130 &lt;=1, 9/10, AB$24-$I130 &lt;=10,(11-(AB$24-$I130))/10, AB$24-$I130 &gt;=11, 0),
_xlfn.IFS(AB$24-$I130 &lt;=1, 5/6, AB$24-$I130 &lt;=5, (7-(AB$24-$I130))/6, AND(AB$24-$I130 =6,NOT(_xlfn.IFNA(ISNUMBER(SEARCH("Rending",$L130)),FALSE))), (7-(AB$24-$I130))/6, AND(AB$24-$I130 &gt;=7,NOT(_xlfn.IFNA(ISNUMBER(SEARCH("Rending",$L130)),FALSE))), 0, AB$24-$I130 =7, (7-(AB$24-1-$I130))/6, AB$24-$I130 =8, (7-(AB$24-2-$I130))/6*2/3, AB$24-$I130 =9, (7-(AB$24-3-$I130))/6*1/3, TRUE, 0)) *
IF(ISNUMBER(SEARCH("Ordinance",$L130)),7/6,1) *
IF(OR(ISNUMBER(SEARCH("Melee",$L130)),ISNUMBER(SEARCH("Bypass",$L130))),1.5,1)</f>
        <v>1</v>
      </c>
      <c r="AC130" s="17" cm="1">
        <f t="array" ref="AC130">$H130 *
IF(ISNUMBER(SEARCH("Rapid",$L130)),7/6,1) *
IF(OR(ISNUMBER(SEARCH("Beam",$L130)),ISNUMBER(SEARCH("Firestorm",$L130))),1, IF(ISNUMBER(SEARCH("Blast",$L130)),(4+$F130+(2-$F130)*0.5)/6*2,(4+$F130)/6)) *
IF(ISNUMBER(SEARCH("Fusion",$L130)), _xlfn.IFS(AC$24-$I130 &lt;=1, 9/10, AC$24-$I130 &lt;=10,(11-(AC$24-$I130))/10, AC$24-$I130 &gt;=11, 0),
_xlfn.IFS(AC$24-$I130 &lt;=1, 5/6, AC$24-$I130 &lt;=5, (7-(AC$24-$I130))/6, AND(AC$24-$I130 =6,NOT(_xlfn.IFNA(ISNUMBER(SEARCH("Rending",$L130)),FALSE))), (7-(AC$24-$I130))/6, AND(AC$24-$I130 &gt;=7,NOT(_xlfn.IFNA(ISNUMBER(SEARCH("Rending",$L130)),FALSE))), 0, AC$24-$I130 =7, (7-(AC$24-1-$I130))/6, AC$24-$I130 =8, (7-(AC$24-2-$I130))/6*2/3, AC$24-$I130 =9, (7-(AC$24-3-$I130))/6*1/3, TRUE, 0)) *
IF(ISNUMBER(SEARCH("Ordinance",$L130)),7/6,1) *
IF(OR(ISNUMBER(SEARCH("Melee",$L130)),ISNUMBER(SEARCH("Bypass",$L130))),1.5,1)</f>
        <v>0</v>
      </c>
      <c r="AD130" s="17" cm="1">
        <f t="array" ref="AD130">$H130 *
IF(ISNUMBER(SEARCH("Rapid",$L130)),7/6,1) *
IF(OR(ISNUMBER(SEARCH("Beam",$L130)),ISNUMBER(SEARCH("Firestorm",$L130))),1, IF(ISNUMBER(SEARCH("Blast",$L130)),(4+$F130+(2-$F130)*0.5)/6*2,(4+$F130)/6)) *
IF(ISNUMBER(SEARCH("Fusion",$L130)), _xlfn.IFS(AD$24-$I130 &lt;=1, 9/10, AD$24-$I130 &lt;=10,(11-(AD$24-$I130))/10, AD$24-$I130 &gt;=11, 0),
_xlfn.IFS(AD$24-$I130 &lt;=1, 5/6, AD$24-$I130 &lt;=5, (7-(AD$24-$I130))/6, AND(AD$24-$I130 =6,NOT(_xlfn.IFNA(ISNUMBER(SEARCH("Rending",$L130)),FALSE))), (7-(AD$24-$I130))/6, AND(AD$24-$I130 &gt;=7,NOT(_xlfn.IFNA(ISNUMBER(SEARCH("Rending",$L130)),FALSE))), 0, AD$24-$I130 =7, (7-(AD$24-1-$I130))/6, AD$24-$I130 =8, (7-(AD$24-2-$I130))/6*2/3, AD$24-$I130 =9, (7-(AD$24-3-$I130))/6*1/3, TRUE, 0)) *
IF(ISNUMBER(SEARCH("Ordinance",$L130)),7/6,1) *
IF(OR(ISNUMBER(SEARCH("Melee",$L130)),ISNUMBER(SEARCH("Bypass",$L130))),1.5,1)</f>
        <v>0</v>
      </c>
      <c r="AE130" s="17" cm="1">
        <f t="array" ref="AE130">$H130 *
IF(ISNUMBER(SEARCH("Rapid",$L130)),7/6,1) *
IF(OR(ISNUMBER(SEARCH("Beam",$L130)),ISNUMBER(SEARCH("Firestorm",$L130))),1, IF(ISNUMBER(SEARCH("Blast",$L130)),(4+$F130+(2-$F130)*0.5)/6*2,(4+$F130)/6)) *
IF(ISNUMBER(SEARCH("Fusion",$L130)), _xlfn.IFS(AE$24-$I130 &lt;=1, 9/10, AE$24-$I130 &lt;=10,(11-(AE$24-$I130))/10, AE$24-$I130 &gt;=11, 0),
_xlfn.IFS(AE$24-$I130 &lt;=1, 5/6, AE$24-$I130 &lt;=5, (7-(AE$24-$I130))/6, AND(AE$24-$I130 =6,NOT(_xlfn.IFNA(ISNUMBER(SEARCH("Rending",$L130)),FALSE))), (7-(AE$24-$I130))/6, AND(AE$24-$I130 &gt;=7,NOT(_xlfn.IFNA(ISNUMBER(SEARCH("Rending",$L130)),FALSE))), 0, AE$24-$I130 =7, (7-(AE$24-1-$I130))/6, AE$24-$I130 =8, (7-(AE$24-2-$I130))/6*2/3, AE$24-$I130 =9, (7-(AE$24-3-$I130))/6*1/3, TRUE, 0)) *
IF(ISNUMBER(SEARCH("Ordinance",$L130)),7/6,1) *
IF(OR(ISNUMBER(SEARCH("Melee",$L130)),ISNUMBER(SEARCH("Bypass",$L130))),1.5,1)</f>
        <v>0</v>
      </c>
      <c r="AF130" s="17" cm="1">
        <f t="array" ref="AF130">$H130 *
IF(ISNUMBER(SEARCH("Rapid",$L130)),7/6,1) *
IF(OR(ISNUMBER(SEARCH("Beam",$L130)),ISNUMBER(SEARCH("Firestorm",$L130))),1, IF(ISNUMBER(SEARCH("Blast",$L130)),(4+$F130+(2-$F130)*0.5)/6*2,(4+$F130)/6)) *
IF(ISNUMBER(SEARCH("Fusion",$L130)), _xlfn.IFS(AF$24-$I130 &lt;=1, 9/10, AF$24-$I130 &lt;=10,(11-(AF$24-$I130))/10, AF$24-$I130 &gt;=11, 0),
_xlfn.IFS(AF$24-$I130 &lt;=1, 5/6, AF$24-$I130 &lt;=5, (7-(AF$24-$I130))/6, AND(AF$24-$I130 =6,NOT(_xlfn.IFNA(ISNUMBER(SEARCH("Rending",$L130)),FALSE))), (7-(AF$24-$I130))/6, AND(AF$24-$I130 &gt;=7,NOT(_xlfn.IFNA(ISNUMBER(SEARCH("Rending",$L130)),FALSE))), 0, AF$24-$I130 =7, (7-(AF$24-1-$I130))/6, AF$24-$I130 =8, (7-(AF$24-2-$I130))/6*2/3, AF$24-$I130 =9, (7-(AF$24-3-$I130))/6*1/3, TRUE, 0)) *
IF(ISNUMBER(SEARCH("Ordinance",$L130)),7/6,1) *
IF(OR(ISNUMBER(SEARCH("Melee",$L130)),ISNUMBER(SEARCH("Bypass",$L130))),1.5,1)</f>
        <v>0</v>
      </c>
      <c r="AG130" s="16">
        <f t="shared" si="22"/>
        <v>2</v>
      </c>
      <c r="AH130" s="16">
        <f t="shared" si="23"/>
        <v>3</v>
      </c>
      <c r="AI130" s="17" cm="1">
        <f t="array" ref="AI130">$H130 *
IF(ISNUMBER(SEARCH("Rapid",$L130)),7/6,1) *
IF(OR(ISNUMBER(SEARCH("Beam",$L130)),ISNUMBER(SEARCH("Firestorm",$L130))),1, IF(ISNUMBER(SEARCH("Blast",$L130)),(4+$G130+(2-$G130)*0.5)/6*2,(4+$G130)/6)) *
_xlfn.IFS(AI$24-$I130 &lt;=1, 5/6, AI$24-$I130 &lt;=5, (7-(AI$24-$I130))/6, AND(AI$24-$I130 =6,NOT(_xlfn.IFNA(ISNUMBER(SEARCH("Rending",$L130)),FALSE))), (7-(AI$24-$I130))/6, AND(AI$24-$I130 &gt;=7,NOT(_xlfn.IFNA(ISNUMBER(SEARCH("Rending",$L130)),FALSE))), 0, AI$24-$I130 =7, (7-(AI$24-1-$I130))/6, AI$24-$I130 =8, (7-(AI$24-2-$I130))/6*2/3, AI$24-$I130 =9, (7-(AI$24-3-$I130))/6*1/3, TRUE, 0) *
IF(ISNUMBER(SEARCH("Ordinance",$L130)),7/6,1) *
IF(OR(ISNUMBER(SEARCH("Melee",$L130)),ISNUMBER(SEARCH("Bypass",$L130))),1.5,1)</f>
        <v>5</v>
      </c>
      <c r="AJ130" s="17" cm="1">
        <f t="array" ref="AJ130">$H130 *
IF(ISNUMBER(SEARCH("Rapid",$L130)),7/6,1) *
IF(OR(ISNUMBER(SEARCH("Beam",$L130)),ISNUMBER(SEARCH("Firestorm",$L130))),1, IF(ISNUMBER(SEARCH("Blast",$L130)),(4+$G130+(2-$G130)*0.5)/6*2,(4+$G130)/6)) *
_xlfn.IFS(AJ$24-$I130 &lt;=1, 5/6, AJ$24-$I130 &lt;=5, (7-(AJ$24-$I130))/6, AND(AJ$24-$I130 =6,NOT(_xlfn.IFNA(ISNUMBER(SEARCH("Rending",$L130)),FALSE))), (7-(AJ$24-$I130))/6, AND(AJ$24-$I130 &gt;=7,NOT(_xlfn.IFNA(ISNUMBER(SEARCH("Rending",$L130)),FALSE))), 0, AJ$24-$I130 =7, (7-(AJ$24-1-$I130))/6, AJ$24-$I130 =8, (7-(AJ$24-2-$I130))/6*2/3, AJ$24-$I130 =9, (7-(AJ$24-3-$I130))/6*1/3, TRUE, 0) *
IF(ISNUMBER(SEARCH("Ordinance",$L130)),7/6,1) *
IF(OR(ISNUMBER(SEARCH("Melee",$L130)),ISNUMBER(SEARCH("Bypass",$L130))),1.5,1)</f>
        <v>4</v>
      </c>
      <c r="AK130" s="17" cm="1">
        <f t="array" ref="AK130">$H130 *
IF(ISNUMBER(SEARCH("Rapid",$L130)),7/6,1) *
IF(OR(ISNUMBER(SEARCH("Beam",$L130)),ISNUMBER(SEARCH("Firestorm",$L130))),1, IF(ISNUMBER(SEARCH("Blast",$L130)),(4+$G130+(2-$G130)*0.5)/6*2,(4+$G130)/6)) *
_xlfn.IFS(AK$24-$I130 &lt;=1, 5/6, AK$24-$I130 &lt;=5, (7-(AK$24-$I130))/6, AND(AK$24-$I130 =6,NOT(_xlfn.IFNA(ISNUMBER(SEARCH("Rending",$L130)),FALSE))), (7-(AK$24-$I130))/6, AND(AK$24-$I130 &gt;=7,NOT(_xlfn.IFNA(ISNUMBER(SEARCH("Rending",$L130)),FALSE))), 0, AK$24-$I130 =7, (7-(AK$24-1-$I130))/6, AK$24-$I130 =8, (7-(AK$24-2-$I130))/6*2/3, AK$24-$I130 =9, (7-(AK$24-3-$I130))/6*1/3, TRUE, 0) *
IF(ISNUMBER(SEARCH("Ordinance",$L130)),7/6,1) *
IF(OR(ISNUMBER(SEARCH("Melee",$L130)),ISNUMBER(SEARCH("Bypass",$L130))),1.5,1)</f>
        <v>3</v>
      </c>
      <c r="AL130" s="17" cm="1">
        <f t="array" ref="AL130">$H130 *
IF(ISNUMBER(SEARCH("Rapid",$L130)),7/6,1) *
IF(OR(ISNUMBER(SEARCH("Beam",$L130)),ISNUMBER(SEARCH("Firestorm",$L130))),1, IF(ISNUMBER(SEARCH("Blast",$L130)),(4+$G130+(2-$G130)*0.5)/6*2,(4+$G130)/6)) *
_xlfn.IFS(AL$24-$I130 &lt;=1, 5/6, AL$24-$I130 &lt;=5, (7-(AL$24-$I130))/6, AND(AL$24-$I130 =6,NOT(_xlfn.IFNA(ISNUMBER(SEARCH("Rending",$L130)),FALSE))), (7-(AL$24-$I130))/6, AND(AL$24-$I130 &gt;=7,NOT(_xlfn.IFNA(ISNUMBER(SEARCH("Rending",$L130)),FALSE))), 0, AL$24-$I130 =7, (7-(AL$24-1-$I130))/6, AL$24-$I130 =8, (7-(AL$24-2-$I130))/6*2/3, AL$24-$I130 =9, (7-(AL$24-3-$I130))/6*1/3, TRUE, 0) *
IF(ISNUMBER(SEARCH("Ordinance",$L130)),7/6,1) *
IF(OR(ISNUMBER(SEARCH("Melee",$L130)),ISNUMBER(SEARCH("Bypass",$L130))),1.5,1)</f>
        <v>2</v>
      </c>
      <c r="AM130" s="17" cm="1">
        <f t="array" ref="AM130">$H130 *
IF(ISNUMBER(SEARCH("Rapid",$L130)),7/6,1) *
IF(OR(ISNUMBER(SEARCH("Beam",$L130)),ISNUMBER(SEARCH("Firestorm",$L130))),1, IF(ISNUMBER(SEARCH("Blast",$L130)),(4+$G130+(2-$G130)*0.5)/6*2,(4+$G130)/6)) *
_xlfn.IFS(AM$24-$I130 &lt;=1, 5/6, AM$24-$I130 &lt;=5, (7-(AM$24-$I130))/6, AND(AM$24-$I130 =6,NOT(_xlfn.IFNA(ISNUMBER(SEARCH("Rending",$L130)),FALSE))), (7-(AM$24-$I130))/6, AND(AM$24-$I130 &gt;=7,NOT(_xlfn.IFNA(ISNUMBER(SEARCH("Rending",$L130)),FALSE))), 0, AM$24-$I130 =7, (7-(AM$24-1-$I130))/6, AM$24-$I130 =8, (7-(AM$24-2-$I130))/6*2/3, AM$24-$I130 =9, (7-(AM$24-3-$I130))/6*1/3, TRUE, 0) *
IF(ISNUMBER(SEARCH("Ordinance",$L130)),7/6,1) *
IF(OR(ISNUMBER(SEARCH("Melee",$L130)),ISNUMBER(SEARCH("Bypass",$L130))),1.5,1)</f>
        <v>1</v>
      </c>
      <c r="AN130" s="17" cm="1">
        <f t="array" ref="AN130">$H130 *
IF(ISNUMBER(SEARCH("Rapid",$L130)),7/6,1) *
IF(OR(ISNUMBER(SEARCH("Beam",$L130)),ISNUMBER(SEARCH("Firestorm",$L130))),1, IF(ISNUMBER(SEARCH("Blast",$L130)),(4+$G130+(2-$G130)*0.5)/6*2,(4+$G130)/6)) *
_xlfn.IFS(AN$24-$I130 &lt;=1, 5/6, AN$24-$I130 &lt;=5, (7-(AN$24-$I130))/6, AND(AN$24-$I130 =6,NOT(_xlfn.IFNA(ISNUMBER(SEARCH("Rending",$L130)),FALSE))), (7-(AN$24-$I130))/6, AND(AN$24-$I130 &gt;=7,NOT(_xlfn.IFNA(ISNUMBER(SEARCH("Rending",$L130)),FALSE))), 0, AN$24-$I130 =7, (7-(AN$24-1-$I130))/6, AN$24-$I130 =8, (7-(AN$24-2-$I130))/6*2/3, AN$24-$I130 =9, (7-(AN$24-3-$I130))/6*1/3, TRUE, 0) *
IF(ISNUMBER(SEARCH("Ordinance",$L130)),7/6,1) *
IF(OR(ISNUMBER(SEARCH("Melee",$L130)),ISNUMBER(SEARCH("Bypass",$L130))),1.5,1)</f>
        <v>0</v>
      </c>
      <c r="AO130" s="17" cm="1">
        <f t="array" ref="AO130">$H130 *
IF(ISNUMBER(SEARCH("Rapid",$L130)),7/6,1) *
IF(OR(ISNUMBER(SEARCH("Beam",$L130)),ISNUMBER(SEARCH("Firestorm",$L130))),1, IF(ISNUMBER(SEARCH("Blast",$L130)),(4+$G130+(2-$G130)*0.5)/6*2,(4+$G130)/6)) *
_xlfn.IFS(AO$24-$I130 &lt;=1, 5/6, AO$24-$I130 &lt;=5, (7-(AO$24-$I130))/6, AND(AO$24-$I130 =6,NOT(_xlfn.IFNA(ISNUMBER(SEARCH("Rending",$L130)),FALSE))), (7-(AO$24-$I130))/6, AND(AO$24-$I130 &gt;=7,NOT(_xlfn.IFNA(ISNUMBER(SEARCH("Rending",$L130)),FALSE))), 0, AO$24-$I130 =7, (7-(AO$24-1-$I130))/6, AO$24-$I130 =8, (7-(AO$24-2-$I130))/6*2/3, AO$24-$I130 =9, (7-(AO$24-3-$I130))/6*1/3, TRUE, 0) *
IF(ISNUMBER(SEARCH("Ordinance",$L130)),7/6,1) *
IF(OR(ISNUMBER(SEARCH("Melee",$L130)),ISNUMBER(SEARCH("Bypass",$L130))),1.5,1)</f>
        <v>0</v>
      </c>
      <c r="AP130" s="17" cm="1">
        <f t="array" ref="AP130">$H130 *
IF(ISNUMBER(SEARCH("Rapid",$L130)),7/6,1) *
IF(OR(ISNUMBER(SEARCH("Beam",$L130)),ISNUMBER(SEARCH("Firestorm",$L130))),1, IF(ISNUMBER(SEARCH("Blast",$L130)),(4+$G130+(2-$G130)*0.5)/6*2,(4+$G130)/6)) *
_xlfn.IFS(AP$24-$I130 &lt;=1, 5/6, AP$24-$I130 &lt;=5, (7-(AP$24-$I130))/6, AND(AP$24-$I130 =6,NOT(_xlfn.IFNA(ISNUMBER(SEARCH("Rending",$L130)),FALSE))), (7-(AP$24-$I130))/6, AND(AP$24-$I130 &gt;=7,NOT(_xlfn.IFNA(ISNUMBER(SEARCH("Rending",$L130)),FALSE))), 0, AP$24-$I130 =7, (7-(AP$24-1-$I130))/6, AP$24-$I130 =8, (7-(AP$24-2-$I130))/6*2/3, AP$24-$I130 =9, (7-(AP$24-3-$I130))/6*1/3, TRUE, 0) *
IF(ISNUMBER(SEARCH("Ordinance",$L130)),7/6,1) *
IF(OR(ISNUMBER(SEARCH("Melee",$L130)),ISNUMBER(SEARCH("Bypass",$L130))),1.5,1)</f>
        <v>0</v>
      </c>
      <c r="AQ130" s="17" cm="1">
        <f t="array" ref="AQ130">$H130 *
IF(ISNUMBER(SEARCH("Rapid",$L130)),7/6,1) *
IF(OR(ISNUMBER(SEARCH("Beam",$L130)),ISNUMBER(SEARCH("Firestorm",$L130))),1, IF(ISNUMBER(SEARCH("Blast",$L130)),(4+$G130+(2-$G130)*0.5)/6*2,(4+$G130)/6)) *
_xlfn.IFS(AQ$24-$I130 &lt;=1, 5/6, AQ$24-$I130 &lt;=5, (7-(AQ$24-$I130))/6, AND(AQ$24-$I130 =6,NOT(_xlfn.IFNA(ISNUMBER(SEARCH("Rending",$L130)),FALSE))), (7-(AQ$24-$I130))/6, AND(AQ$24-$I130 &gt;=7,NOT(_xlfn.IFNA(ISNUMBER(SEARCH("Rending",$L130)),FALSE))), 0, AQ$24-$I130 =7, (7-(AQ$24-1-$I130))/6, AQ$24-$I130 =8, (7-(AQ$24-2-$I130))/6*2/3, AQ$24-$I130 =9, (7-(AQ$24-3-$I130))/6*1/3, TRUE, 0) *
IF(ISNUMBER(SEARCH("Ordinance",$L130)),7/6,1) *
IF(OR(ISNUMBER(SEARCH("Melee",$L130)),ISNUMBER(SEARCH("Bypass",$L130))),1.5,1)</f>
        <v>0</v>
      </c>
      <c r="AS130" s="16">
        <f t="shared" si="30"/>
        <v>0.73333333333333339</v>
      </c>
      <c r="AT130" s="16">
        <f t="shared" si="31"/>
        <v>1.1000000000000001</v>
      </c>
      <c r="AU130" s="16">
        <f t="shared" si="32"/>
        <v>2.5833333333333335</v>
      </c>
      <c r="AV130" s="2">
        <v>9</v>
      </c>
    </row>
    <row r="131" spans="1:48" x14ac:dyDescent="0.3">
      <c r="A131" t="s">
        <v>131</v>
      </c>
      <c r="B131" s="3">
        <v>8</v>
      </c>
      <c r="C131" s="3">
        <v>20</v>
      </c>
      <c r="D131" s="3">
        <v>1</v>
      </c>
      <c r="E131" s="3">
        <v>1</v>
      </c>
      <c r="F131" s="10">
        <v>1</v>
      </c>
      <c r="G131" s="10">
        <v>0</v>
      </c>
      <c r="H131" s="3">
        <v>6</v>
      </c>
      <c r="I131" s="3">
        <v>4</v>
      </c>
      <c r="J131" s="3" t="s">
        <v>563</v>
      </c>
      <c r="K131" s="3">
        <v>20</v>
      </c>
      <c r="L131" s="3" t="s">
        <v>286</v>
      </c>
      <c r="M131" s="3" t="s">
        <v>199</v>
      </c>
      <c r="N131" s="3">
        <v>10</v>
      </c>
      <c r="O131" s="3">
        <v>10</v>
      </c>
      <c r="P131" s="3">
        <v>14</v>
      </c>
      <c r="Q131" s="3" t="s">
        <v>200</v>
      </c>
      <c r="R131" s="3">
        <v>7</v>
      </c>
      <c r="S131" s="3">
        <v>9</v>
      </c>
      <c r="T131" s="3">
        <v>4</v>
      </c>
      <c r="V131" s="16">
        <f t="shared" ref="V131:V194" si="33">IF(OR(ISNUMBER(SEARCH("Melee",$L131)),ISNUMBER(SEARCH("Bypass",$L131))),0, (($H131 *IF(ISNUMBER(SEARCH("Rapid",$L131)),7/6,1)*IF(OR(ISNUMBER(SEARCH("Beam",$L131)),ISNUMBER(SEARCH("Firestorm",$L131))),1, IF(ISNUMBER(SEARCH("Blast",$L131)),(4+$F131+(2-$F131)*0.5)/6*2,(4+$F131)/6)))+IF(ISNUMBER(SEARCH("Voidbreaker", $L131)),1.89,0)) *IF(ISNUMBER(SEARCH("Shieldbane", $L131)),3/6,2/6))</f>
        <v>1.9444444444444446</v>
      </c>
      <c r="W131" s="16">
        <f t="shared" ref="W131:W194" si="34">IF(OR(ISNUMBER(SEARCH("Melee",$L131)),ISNUMBER(SEARCH("Bypass",$L131))),0, (($H131 *IF(ISNUMBER(SEARCH("Rapid",$L131)),7/6,1)*IF(OR(ISNUMBER(SEARCH("Beam",$L131)),ISNUMBER(SEARCH("Firestorm",$L131))),1, IF(ISNUMBER(SEARCH("Blast",$L131)),(4+$F131+(2-$F131)*0.5)/6*2,(4+$F131)/6)))+IF(ISNUMBER(SEARCH("Voidbreaker", $L131)),1.89,0)) *IF(ISNUMBER(SEARCH("Shieldbane", $L131)),4/6,3/6))</f>
        <v>2.916666666666667</v>
      </c>
      <c r="X131" s="17" cm="1">
        <f t="array" ref="X131">$H131 *
IF(ISNUMBER(SEARCH("Rapid",$L131)),7/6,1) *
IF(OR(ISNUMBER(SEARCH("Beam",$L131)),ISNUMBER(SEARCH("Firestorm",$L131))),1, IF(ISNUMBER(SEARCH("Blast",$L131)),(4+$F131+(2-$F131)*0.5)/6*2,(4+$F131)/6)) *
IF(ISNUMBER(SEARCH("Fusion",$L131)), _xlfn.IFS(X$24-$I131 &lt;=1, 9/10, X$24-$I131 &lt;=10,(11-(X$24-$I131))/10, X$24-$I131 &gt;=11, 0),
_xlfn.IFS(X$24-$I131 &lt;=1, 5/6, X$24-$I131 &lt;=5, (7-(X$24-$I131))/6, AND(X$24-$I131 =6,NOT(_xlfn.IFNA(ISNUMBER(SEARCH("Rending",$L131)),FALSE))), (7-(X$24-$I131))/6, AND(X$24-$I131 &gt;=7,NOT(_xlfn.IFNA(ISNUMBER(SEARCH("Rending",$L131)),FALSE))), 0, X$24-$I131 =7, (7-(X$24-1-$I131))/6, X$24-$I131 =8, (7-(X$24-2-$I131))/6*2/3, X$24-$I131 =9, (7-(X$24-3-$I131))/6*1/3, TRUE, 0)) *
IF(ISNUMBER(SEARCH("Ordinance",$L131)),7/6,1) *
IF(OR(ISNUMBER(SEARCH("Melee",$L131)),ISNUMBER(SEARCH("Bypass",$L131))),1.5,1)</f>
        <v>1.9444444444444446</v>
      </c>
      <c r="Y131" s="17" cm="1">
        <f t="array" ref="Y131">$H131 *
IF(ISNUMBER(SEARCH("Rapid",$L131)),7/6,1) *
IF(OR(ISNUMBER(SEARCH("Beam",$L131)),ISNUMBER(SEARCH("Firestorm",$L131))),1, IF(ISNUMBER(SEARCH("Blast",$L131)),(4+$F131+(2-$F131)*0.5)/6*2,(4+$F131)/6)) *
IF(ISNUMBER(SEARCH("Fusion",$L131)), _xlfn.IFS(Y$24-$I131 &lt;=1, 9/10, Y$24-$I131 &lt;=10,(11-(Y$24-$I131))/10, Y$24-$I131 &gt;=11, 0),
_xlfn.IFS(Y$24-$I131 &lt;=1, 5/6, Y$24-$I131 &lt;=5, (7-(Y$24-$I131))/6, AND(Y$24-$I131 =6,NOT(_xlfn.IFNA(ISNUMBER(SEARCH("Rending",$L131)),FALSE))), (7-(Y$24-$I131))/6, AND(Y$24-$I131 &gt;=7,NOT(_xlfn.IFNA(ISNUMBER(SEARCH("Rending",$L131)),FALSE))), 0, Y$24-$I131 =7, (7-(Y$24-1-$I131))/6, Y$24-$I131 =8, (7-(Y$24-2-$I131))/6*2/3, Y$24-$I131 =9, (7-(Y$24-3-$I131))/6*1/3, TRUE, 0)) *
IF(ISNUMBER(SEARCH("Ordinance",$L131)),7/6,1) *
IF(OR(ISNUMBER(SEARCH("Melee",$L131)),ISNUMBER(SEARCH("Bypass",$L131))),1.5,1)</f>
        <v>0.97222222222222232</v>
      </c>
      <c r="Z131" s="17" cm="1">
        <f t="array" ref="Z131">$H131 *
IF(ISNUMBER(SEARCH("Rapid",$L131)),7/6,1) *
IF(OR(ISNUMBER(SEARCH("Beam",$L131)),ISNUMBER(SEARCH("Firestorm",$L131))),1, IF(ISNUMBER(SEARCH("Blast",$L131)),(4+$F131+(2-$F131)*0.5)/6*2,(4+$F131)/6)) *
IF(ISNUMBER(SEARCH("Fusion",$L131)), _xlfn.IFS(Z$24-$I131 &lt;=1, 9/10, Z$24-$I131 &lt;=10,(11-(Z$24-$I131))/10, Z$24-$I131 &gt;=11, 0),
_xlfn.IFS(Z$24-$I131 &lt;=1, 5/6, Z$24-$I131 &lt;=5, (7-(Z$24-$I131))/6, AND(Z$24-$I131 =6,NOT(_xlfn.IFNA(ISNUMBER(SEARCH("Rending",$L131)),FALSE))), (7-(Z$24-$I131))/6, AND(Z$24-$I131 &gt;=7,NOT(_xlfn.IFNA(ISNUMBER(SEARCH("Rending",$L131)),FALSE))), 0, Z$24-$I131 =7, (7-(Z$24-1-$I131))/6, Z$24-$I131 =8, (7-(Z$24-2-$I131))/6*2/3, Z$24-$I131 =9, (7-(Z$24-3-$I131))/6*1/3, TRUE, 0)) *
IF(ISNUMBER(SEARCH("Ordinance",$L131)),7/6,1) *
IF(OR(ISNUMBER(SEARCH("Melee",$L131)),ISNUMBER(SEARCH("Bypass",$L131))),1.5,1)</f>
        <v>0</v>
      </c>
      <c r="AA131" s="17" cm="1">
        <f t="array" ref="AA131">$H131 *
IF(ISNUMBER(SEARCH("Rapid",$L131)),7/6,1) *
IF(OR(ISNUMBER(SEARCH("Beam",$L131)),ISNUMBER(SEARCH("Firestorm",$L131))),1, IF(ISNUMBER(SEARCH("Blast",$L131)),(4+$F131+(2-$F131)*0.5)/6*2,(4+$F131)/6)) *
IF(ISNUMBER(SEARCH("Fusion",$L131)), _xlfn.IFS(AA$24-$I131 &lt;=1, 9/10, AA$24-$I131 &lt;=10,(11-(AA$24-$I131))/10, AA$24-$I131 &gt;=11, 0),
_xlfn.IFS(AA$24-$I131 &lt;=1, 5/6, AA$24-$I131 &lt;=5, (7-(AA$24-$I131))/6, AND(AA$24-$I131 =6,NOT(_xlfn.IFNA(ISNUMBER(SEARCH("Rending",$L131)),FALSE))), (7-(AA$24-$I131))/6, AND(AA$24-$I131 &gt;=7,NOT(_xlfn.IFNA(ISNUMBER(SEARCH("Rending",$L131)),FALSE))), 0, AA$24-$I131 =7, (7-(AA$24-1-$I131))/6, AA$24-$I131 =8, (7-(AA$24-2-$I131))/6*2/3, AA$24-$I131 =9, (7-(AA$24-3-$I131))/6*1/3, TRUE, 0)) *
IF(ISNUMBER(SEARCH("Ordinance",$L131)),7/6,1) *
IF(OR(ISNUMBER(SEARCH("Melee",$L131)),ISNUMBER(SEARCH("Bypass",$L131))),1.5,1)</f>
        <v>0</v>
      </c>
      <c r="AB131" s="17" cm="1">
        <f t="array" ref="AB131">$H131 *
IF(ISNUMBER(SEARCH("Rapid",$L131)),7/6,1) *
IF(OR(ISNUMBER(SEARCH("Beam",$L131)),ISNUMBER(SEARCH("Firestorm",$L131))),1, IF(ISNUMBER(SEARCH("Blast",$L131)),(4+$F131+(2-$F131)*0.5)/6*2,(4+$F131)/6)) *
IF(ISNUMBER(SEARCH("Fusion",$L131)), _xlfn.IFS(AB$24-$I131 &lt;=1, 9/10, AB$24-$I131 &lt;=10,(11-(AB$24-$I131))/10, AB$24-$I131 &gt;=11, 0),
_xlfn.IFS(AB$24-$I131 &lt;=1, 5/6, AB$24-$I131 &lt;=5, (7-(AB$24-$I131))/6, AND(AB$24-$I131 =6,NOT(_xlfn.IFNA(ISNUMBER(SEARCH("Rending",$L131)),FALSE))), (7-(AB$24-$I131))/6, AND(AB$24-$I131 &gt;=7,NOT(_xlfn.IFNA(ISNUMBER(SEARCH("Rending",$L131)),FALSE))), 0, AB$24-$I131 =7, (7-(AB$24-1-$I131))/6, AB$24-$I131 =8, (7-(AB$24-2-$I131))/6*2/3, AB$24-$I131 =9, (7-(AB$24-3-$I131))/6*1/3, TRUE, 0)) *
IF(ISNUMBER(SEARCH("Ordinance",$L131)),7/6,1) *
IF(OR(ISNUMBER(SEARCH("Melee",$L131)),ISNUMBER(SEARCH("Bypass",$L131))),1.5,1)</f>
        <v>0</v>
      </c>
      <c r="AC131" s="17" cm="1">
        <f t="array" ref="AC131">$H131 *
IF(ISNUMBER(SEARCH("Rapid",$L131)),7/6,1) *
IF(OR(ISNUMBER(SEARCH("Beam",$L131)),ISNUMBER(SEARCH("Firestorm",$L131))),1, IF(ISNUMBER(SEARCH("Blast",$L131)),(4+$F131+(2-$F131)*0.5)/6*2,(4+$F131)/6)) *
IF(ISNUMBER(SEARCH("Fusion",$L131)), _xlfn.IFS(AC$24-$I131 &lt;=1, 9/10, AC$24-$I131 &lt;=10,(11-(AC$24-$I131))/10, AC$24-$I131 &gt;=11, 0),
_xlfn.IFS(AC$24-$I131 &lt;=1, 5/6, AC$24-$I131 &lt;=5, (7-(AC$24-$I131))/6, AND(AC$24-$I131 =6,NOT(_xlfn.IFNA(ISNUMBER(SEARCH("Rending",$L131)),FALSE))), (7-(AC$24-$I131))/6, AND(AC$24-$I131 &gt;=7,NOT(_xlfn.IFNA(ISNUMBER(SEARCH("Rending",$L131)),FALSE))), 0, AC$24-$I131 =7, (7-(AC$24-1-$I131))/6, AC$24-$I131 =8, (7-(AC$24-2-$I131))/6*2/3, AC$24-$I131 =9, (7-(AC$24-3-$I131))/6*1/3, TRUE, 0)) *
IF(ISNUMBER(SEARCH("Ordinance",$L131)),7/6,1) *
IF(OR(ISNUMBER(SEARCH("Melee",$L131)),ISNUMBER(SEARCH("Bypass",$L131))),1.5,1)</f>
        <v>0</v>
      </c>
      <c r="AD131" s="17" cm="1">
        <f t="array" ref="AD131">$H131 *
IF(ISNUMBER(SEARCH("Rapid",$L131)),7/6,1) *
IF(OR(ISNUMBER(SEARCH("Beam",$L131)),ISNUMBER(SEARCH("Firestorm",$L131))),1, IF(ISNUMBER(SEARCH("Blast",$L131)),(4+$F131+(2-$F131)*0.5)/6*2,(4+$F131)/6)) *
IF(ISNUMBER(SEARCH("Fusion",$L131)), _xlfn.IFS(AD$24-$I131 &lt;=1, 9/10, AD$24-$I131 &lt;=10,(11-(AD$24-$I131))/10, AD$24-$I131 &gt;=11, 0),
_xlfn.IFS(AD$24-$I131 &lt;=1, 5/6, AD$24-$I131 &lt;=5, (7-(AD$24-$I131))/6, AND(AD$24-$I131 =6,NOT(_xlfn.IFNA(ISNUMBER(SEARCH("Rending",$L131)),FALSE))), (7-(AD$24-$I131))/6, AND(AD$24-$I131 &gt;=7,NOT(_xlfn.IFNA(ISNUMBER(SEARCH("Rending",$L131)),FALSE))), 0, AD$24-$I131 =7, (7-(AD$24-1-$I131))/6, AD$24-$I131 =8, (7-(AD$24-2-$I131))/6*2/3, AD$24-$I131 =9, (7-(AD$24-3-$I131))/6*1/3, TRUE, 0)) *
IF(ISNUMBER(SEARCH("Ordinance",$L131)),7/6,1) *
IF(OR(ISNUMBER(SEARCH("Melee",$L131)),ISNUMBER(SEARCH("Bypass",$L131))),1.5,1)</f>
        <v>0</v>
      </c>
      <c r="AE131" s="17" cm="1">
        <f t="array" ref="AE131">$H131 *
IF(ISNUMBER(SEARCH("Rapid",$L131)),7/6,1) *
IF(OR(ISNUMBER(SEARCH("Beam",$L131)),ISNUMBER(SEARCH("Firestorm",$L131))),1, IF(ISNUMBER(SEARCH("Blast",$L131)),(4+$F131+(2-$F131)*0.5)/6*2,(4+$F131)/6)) *
IF(ISNUMBER(SEARCH("Fusion",$L131)), _xlfn.IFS(AE$24-$I131 &lt;=1, 9/10, AE$24-$I131 &lt;=10,(11-(AE$24-$I131))/10, AE$24-$I131 &gt;=11, 0),
_xlfn.IFS(AE$24-$I131 &lt;=1, 5/6, AE$24-$I131 &lt;=5, (7-(AE$24-$I131))/6, AND(AE$24-$I131 =6,NOT(_xlfn.IFNA(ISNUMBER(SEARCH("Rending",$L131)),FALSE))), (7-(AE$24-$I131))/6, AND(AE$24-$I131 &gt;=7,NOT(_xlfn.IFNA(ISNUMBER(SEARCH("Rending",$L131)),FALSE))), 0, AE$24-$I131 =7, (7-(AE$24-1-$I131))/6, AE$24-$I131 =8, (7-(AE$24-2-$I131))/6*2/3, AE$24-$I131 =9, (7-(AE$24-3-$I131))/6*1/3, TRUE, 0)) *
IF(ISNUMBER(SEARCH("Ordinance",$L131)),7/6,1) *
IF(OR(ISNUMBER(SEARCH("Melee",$L131)),ISNUMBER(SEARCH("Bypass",$L131))),1.5,1)</f>
        <v>0</v>
      </c>
      <c r="AF131" s="17" cm="1">
        <f t="array" ref="AF131">$H131 *
IF(ISNUMBER(SEARCH("Rapid",$L131)),7/6,1) *
IF(OR(ISNUMBER(SEARCH("Beam",$L131)),ISNUMBER(SEARCH("Firestorm",$L131))),1, IF(ISNUMBER(SEARCH("Blast",$L131)),(4+$F131+(2-$F131)*0.5)/6*2,(4+$F131)/6)) *
IF(ISNUMBER(SEARCH("Fusion",$L131)), _xlfn.IFS(AF$24-$I131 &lt;=1, 9/10, AF$24-$I131 &lt;=10,(11-(AF$24-$I131))/10, AF$24-$I131 &gt;=11, 0),
_xlfn.IFS(AF$24-$I131 &lt;=1, 5/6, AF$24-$I131 &lt;=5, (7-(AF$24-$I131))/6, AND(AF$24-$I131 =6,NOT(_xlfn.IFNA(ISNUMBER(SEARCH("Rending",$L131)),FALSE))), (7-(AF$24-$I131))/6, AND(AF$24-$I131 &gt;=7,NOT(_xlfn.IFNA(ISNUMBER(SEARCH("Rending",$L131)),FALSE))), 0, AF$24-$I131 =7, (7-(AF$24-1-$I131))/6, AF$24-$I131 =8, (7-(AF$24-2-$I131))/6*2/3, AF$24-$I131 =9, (7-(AF$24-3-$I131))/6*1/3, TRUE, 0)) *
IF(ISNUMBER(SEARCH("Ordinance",$L131)),7/6,1) *
IF(OR(ISNUMBER(SEARCH("Melee",$L131)),ISNUMBER(SEARCH("Bypass",$L131))),1.5,1)</f>
        <v>0</v>
      </c>
      <c r="AG131" s="16">
        <f t="shared" ref="AG131:AG194" si="35">IF(OR(ISNUMBER(SEARCH("Melee",$L131)),ISNUMBER(SEARCH("Bypass",$L131))),0, (($H131 *IF(ISNUMBER(SEARCH("Rapid",$L131)),7/6,1)*IF(OR(ISNUMBER(SEARCH("Beam",$L131)),ISNUMBER(SEARCH("Firestorm",$L131))),1, IF(ISNUMBER(SEARCH("Blast",$L131)),(4+$G131+(2-$G131)*0.5)/6*2,(4+$G131)/6)))+IF(ISNUMBER(SEARCH("Voidbreaker", $L131)),1.89,0)) *IF(ISNUMBER(SEARCH("Shieldbane", $L131)),3/6,2/6))</f>
        <v>1.5555555555555554</v>
      </c>
      <c r="AH131" s="16">
        <f t="shared" ref="AH131:AH194" si="36">IF(OR(ISNUMBER(SEARCH("Melee",$L131)),ISNUMBER(SEARCH("Bypass",$L131))),0, (($H131 *IF(ISNUMBER(SEARCH("Rapid",$L131)),7/6,1)*IF(OR(ISNUMBER(SEARCH("Beam",$L131)),ISNUMBER(SEARCH("Firestorm",$L131))),1, IF(ISNUMBER(SEARCH("Blast",$L131)),(4+$G131+(2-$G131)*0.5)/6*2,(4+$G131)/6)))+IF(ISNUMBER(SEARCH("Voidbreaker", $L131)),1.89,0)) *IF(ISNUMBER(SEARCH("Shieldbane", $L131)),4/6,3/6))</f>
        <v>2.333333333333333</v>
      </c>
      <c r="AI131" s="17" cm="1">
        <f t="array" ref="AI131">$H131 *
IF(ISNUMBER(SEARCH("Rapid",$L131)),7/6,1) *
IF(OR(ISNUMBER(SEARCH("Beam",$L131)),ISNUMBER(SEARCH("Firestorm",$L131))),1, IF(ISNUMBER(SEARCH("Blast",$L131)),(4+$G131+(2-$G131)*0.5)/6*2,(4+$G131)/6)) *
_xlfn.IFS(AI$24-$I131 &lt;=1, 5/6, AI$24-$I131 &lt;=5, (7-(AI$24-$I131))/6, AND(AI$24-$I131 =6,NOT(_xlfn.IFNA(ISNUMBER(SEARCH("Rending",$L131)),FALSE))), (7-(AI$24-$I131))/6, AND(AI$24-$I131 &gt;=7,NOT(_xlfn.IFNA(ISNUMBER(SEARCH("Rending",$L131)),FALSE))), 0, AI$24-$I131 =7, (7-(AI$24-1-$I131))/6, AI$24-$I131 =8, (7-(AI$24-2-$I131))/6*2/3, AI$24-$I131 =9, (7-(AI$24-3-$I131))/6*1/3, TRUE, 0) *
IF(ISNUMBER(SEARCH("Ordinance",$L131)),7/6,1) *
IF(OR(ISNUMBER(SEARCH("Melee",$L131)),ISNUMBER(SEARCH("Bypass",$L131))),1.5,1)</f>
        <v>1.5555555555555554</v>
      </c>
      <c r="AJ131" s="17" cm="1">
        <f t="array" ref="AJ131">$H131 *
IF(ISNUMBER(SEARCH("Rapid",$L131)),7/6,1) *
IF(OR(ISNUMBER(SEARCH("Beam",$L131)),ISNUMBER(SEARCH("Firestorm",$L131))),1, IF(ISNUMBER(SEARCH("Blast",$L131)),(4+$G131+(2-$G131)*0.5)/6*2,(4+$G131)/6)) *
_xlfn.IFS(AJ$24-$I131 &lt;=1, 5/6, AJ$24-$I131 &lt;=5, (7-(AJ$24-$I131))/6, AND(AJ$24-$I131 =6,NOT(_xlfn.IFNA(ISNUMBER(SEARCH("Rending",$L131)),FALSE))), (7-(AJ$24-$I131))/6, AND(AJ$24-$I131 &gt;=7,NOT(_xlfn.IFNA(ISNUMBER(SEARCH("Rending",$L131)),FALSE))), 0, AJ$24-$I131 =7, (7-(AJ$24-1-$I131))/6, AJ$24-$I131 =8, (7-(AJ$24-2-$I131))/6*2/3, AJ$24-$I131 =9, (7-(AJ$24-3-$I131))/6*1/3, TRUE, 0) *
IF(ISNUMBER(SEARCH("Ordinance",$L131)),7/6,1) *
IF(OR(ISNUMBER(SEARCH("Melee",$L131)),ISNUMBER(SEARCH("Bypass",$L131))),1.5,1)</f>
        <v>0.77777777777777768</v>
      </c>
      <c r="AK131" s="17" cm="1">
        <f t="array" ref="AK131">$H131 *
IF(ISNUMBER(SEARCH("Rapid",$L131)),7/6,1) *
IF(OR(ISNUMBER(SEARCH("Beam",$L131)),ISNUMBER(SEARCH("Firestorm",$L131))),1, IF(ISNUMBER(SEARCH("Blast",$L131)),(4+$G131+(2-$G131)*0.5)/6*2,(4+$G131)/6)) *
_xlfn.IFS(AK$24-$I131 &lt;=1, 5/6, AK$24-$I131 &lt;=5, (7-(AK$24-$I131))/6, AND(AK$24-$I131 =6,NOT(_xlfn.IFNA(ISNUMBER(SEARCH("Rending",$L131)),FALSE))), (7-(AK$24-$I131))/6, AND(AK$24-$I131 &gt;=7,NOT(_xlfn.IFNA(ISNUMBER(SEARCH("Rending",$L131)),FALSE))), 0, AK$24-$I131 =7, (7-(AK$24-1-$I131))/6, AK$24-$I131 =8, (7-(AK$24-2-$I131))/6*2/3, AK$24-$I131 =9, (7-(AK$24-3-$I131))/6*1/3, TRUE, 0) *
IF(ISNUMBER(SEARCH("Ordinance",$L131)),7/6,1) *
IF(OR(ISNUMBER(SEARCH("Melee",$L131)),ISNUMBER(SEARCH("Bypass",$L131))),1.5,1)</f>
        <v>0</v>
      </c>
      <c r="AL131" s="17" cm="1">
        <f t="array" ref="AL131">$H131 *
IF(ISNUMBER(SEARCH("Rapid",$L131)),7/6,1) *
IF(OR(ISNUMBER(SEARCH("Beam",$L131)),ISNUMBER(SEARCH("Firestorm",$L131))),1, IF(ISNUMBER(SEARCH("Blast",$L131)),(4+$G131+(2-$G131)*0.5)/6*2,(4+$G131)/6)) *
_xlfn.IFS(AL$24-$I131 &lt;=1, 5/6, AL$24-$I131 &lt;=5, (7-(AL$24-$I131))/6, AND(AL$24-$I131 =6,NOT(_xlfn.IFNA(ISNUMBER(SEARCH("Rending",$L131)),FALSE))), (7-(AL$24-$I131))/6, AND(AL$24-$I131 &gt;=7,NOT(_xlfn.IFNA(ISNUMBER(SEARCH("Rending",$L131)),FALSE))), 0, AL$24-$I131 =7, (7-(AL$24-1-$I131))/6, AL$24-$I131 =8, (7-(AL$24-2-$I131))/6*2/3, AL$24-$I131 =9, (7-(AL$24-3-$I131))/6*1/3, TRUE, 0) *
IF(ISNUMBER(SEARCH("Ordinance",$L131)),7/6,1) *
IF(OR(ISNUMBER(SEARCH("Melee",$L131)),ISNUMBER(SEARCH("Bypass",$L131))),1.5,1)</f>
        <v>0</v>
      </c>
      <c r="AM131" s="17" cm="1">
        <f t="array" ref="AM131">$H131 *
IF(ISNUMBER(SEARCH("Rapid",$L131)),7/6,1) *
IF(OR(ISNUMBER(SEARCH("Beam",$L131)),ISNUMBER(SEARCH("Firestorm",$L131))),1, IF(ISNUMBER(SEARCH("Blast",$L131)),(4+$G131+(2-$G131)*0.5)/6*2,(4+$G131)/6)) *
_xlfn.IFS(AM$24-$I131 &lt;=1, 5/6, AM$24-$I131 &lt;=5, (7-(AM$24-$I131))/6, AND(AM$24-$I131 =6,NOT(_xlfn.IFNA(ISNUMBER(SEARCH("Rending",$L131)),FALSE))), (7-(AM$24-$I131))/6, AND(AM$24-$I131 &gt;=7,NOT(_xlfn.IFNA(ISNUMBER(SEARCH("Rending",$L131)),FALSE))), 0, AM$24-$I131 =7, (7-(AM$24-1-$I131))/6, AM$24-$I131 =8, (7-(AM$24-2-$I131))/6*2/3, AM$24-$I131 =9, (7-(AM$24-3-$I131))/6*1/3, TRUE, 0) *
IF(ISNUMBER(SEARCH("Ordinance",$L131)),7/6,1) *
IF(OR(ISNUMBER(SEARCH("Melee",$L131)),ISNUMBER(SEARCH("Bypass",$L131))),1.5,1)</f>
        <v>0</v>
      </c>
      <c r="AN131" s="17" cm="1">
        <f t="array" ref="AN131">$H131 *
IF(ISNUMBER(SEARCH("Rapid",$L131)),7/6,1) *
IF(OR(ISNUMBER(SEARCH("Beam",$L131)),ISNUMBER(SEARCH("Firestorm",$L131))),1, IF(ISNUMBER(SEARCH("Blast",$L131)),(4+$G131+(2-$G131)*0.5)/6*2,(4+$G131)/6)) *
_xlfn.IFS(AN$24-$I131 &lt;=1, 5/6, AN$24-$I131 &lt;=5, (7-(AN$24-$I131))/6, AND(AN$24-$I131 =6,NOT(_xlfn.IFNA(ISNUMBER(SEARCH("Rending",$L131)),FALSE))), (7-(AN$24-$I131))/6, AND(AN$24-$I131 &gt;=7,NOT(_xlfn.IFNA(ISNUMBER(SEARCH("Rending",$L131)),FALSE))), 0, AN$24-$I131 =7, (7-(AN$24-1-$I131))/6, AN$24-$I131 =8, (7-(AN$24-2-$I131))/6*2/3, AN$24-$I131 =9, (7-(AN$24-3-$I131))/6*1/3, TRUE, 0) *
IF(ISNUMBER(SEARCH("Ordinance",$L131)),7/6,1) *
IF(OR(ISNUMBER(SEARCH("Melee",$L131)),ISNUMBER(SEARCH("Bypass",$L131))),1.5,1)</f>
        <v>0</v>
      </c>
      <c r="AO131" s="17" cm="1">
        <f t="array" ref="AO131">$H131 *
IF(ISNUMBER(SEARCH("Rapid",$L131)),7/6,1) *
IF(OR(ISNUMBER(SEARCH("Beam",$L131)),ISNUMBER(SEARCH("Firestorm",$L131))),1, IF(ISNUMBER(SEARCH("Blast",$L131)),(4+$G131+(2-$G131)*0.5)/6*2,(4+$G131)/6)) *
_xlfn.IFS(AO$24-$I131 &lt;=1, 5/6, AO$24-$I131 &lt;=5, (7-(AO$24-$I131))/6, AND(AO$24-$I131 =6,NOT(_xlfn.IFNA(ISNUMBER(SEARCH("Rending",$L131)),FALSE))), (7-(AO$24-$I131))/6, AND(AO$24-$I131 &gt;=7,NOT(_xlfn.IFNA(ISNUMBER(SEARCH("Rending",$L131)),FALSE))), 0, AO$24-$I131 =7, (7-(AO$24-1-$I131))/6, AO$24-$I131 =8, (7-(AO$24-2-$I131))/6*2/3, AO$24-$I131 =9, (7-(AO$24-3-$I131))/6*1/3, TRUE, 0) *
IF(ISNUMBER(SEARCH("Ordinance",$L131)),7/6,1) *
IF(OR(ISNUMBER(SEARCH("Melee",$L131)),ISNUMBER(SEARCH("Bypass",$L131))),1.5,1)</f>
        <v>0</v>
      </c>
      <c r="AP131" s="17" cm="1">
        <f t="array" ref="AP131">$H131 *
IF(ISNUMBER(SEARCH("Rapid",$L131)),7/6,1) *
IF(OR(ISNUMBER(SEARCH("Beam",$L131)),ISNUMBER(SEARCH("Firestorm",$L131))),1, IF(ISNUMBER(SEARCH("Blast",$L131)),(4+$G131+(2-$G131)*0.5)/6*2,(4+$G131)/6)) *
_xlfn.IFS(AP$24-$I131 &lt;=1, 5/6, AP$24-$I131 &lt;=5, (7-(AP$24-$I131))/6, AND(AP$24-$I131 =6,NOT(_xlfn.IFNA(ISNUMBER(SEARCH("Rending",$L131)),FALSE))), (7-(AP$24-$I131))/6, AND(AP$24-$I131 &gt;=7,NOT(_xlfn.IFNA(ISNUMBER(SEARCH("Rending",$L131)),FALSE))), 0, AP$24-$I131 =7, (7-(AP$24-1-$I131))/6, AP$24-$I131 =8, (7-(AP$24-2-$I131))/6*2/3, AP$24-$I131 =9, (7-(AP$24-3-$I131))/6*1/3, TRUE, 0) *
IF(ISNUMBER(SEARCH("Ordinance",$L131)),7/6,1) *
IF(OR(ISNUMBER(SEARCH("Melee",$L131)),ISNUMBER(SEARCH("Bypass",$L131))),1.5,1)</f>
        <v>0</v>
      </c>
      <c r="AQ131" s="17" cm="1">
        <f t="array" ref="AQ131">$H131 *
IF(ISNUMBER(SEARCH("Rapid",$L131)),7/6,1) *
IF(OR(ISNUMBER(SEARCH("Beam",$L131)),ISNUMBER(SEARCH("Firestorm",$L131))),1, IF(ISNUMBER(SEARCH("Blast",$L131)),(4+$G131+(2-$G131)*0.5)/6*2,(4+$G131)/6)) *
_xlfn.IFS(AQ$24-$I131 &lt;=1, 5/6, AQ$24-$I131 &lt;=5, (7-(AQ$24-$I131))/6, AND(AQ$24-$I131 =6,NOT(_xlfn.IFNA(ISNUMBER(SEARCH("Rending",$L131)),FALSE))), (7-(AQ$24-$I131))/6, AND(AQ$24-$I131 &gt;=7,NOT(_xlfn.IFNA(ISNUMBER(SEARCH("Rending",$L131)),FALSE))), 0, AQ$24-$I131 =7, (7-(AQ$24-1-$I131))/6, AQ$24-$I131 =8, (7-(AQ$24-2-$I131))/6*2/3, AQ$24-$I131 =9, (7-(AQ$24-3-$I131))/6*1/3, TRUE, 0) *
IF(ISNUMBER(SEARCH("Ordinance",$L131)),7/6,1) *
IF(OR(ISNUMBER(SEARCH("Melee",$L131)),ISNUMBER(SEARCH("Bypass",$L131))),1.5,1)</f>
        <v>0</v>
      </c>
      <c r="AS131" s="16">
        <f t="shared" si="30"/>
        <v>1.5555555555555554</v>
      </c>
      <c r="AT131" s="16">
        <f t="shared" si="31"/>
        <v>2.333333333333333</v>
      </c>
      <c r="AU131" s="16">
        <f t="shared" si="32"/>
        <v>0.89444444444444438</v>
      </c>
      <c r="AV131" s="2">
        <v>9</v>
      </c>
    </row>
    <row r="132" spans="1:48" x14ac:dyDescent="0.3">
      <c r="A132" t="s">
        <v>175</v>
      </c>
      <c r="B132" s="3">
        <v>16</v>
      </c>
      <c r="C132" s="3">
        <v>32</v>
      </c>
      <c r="D132" s="3">
        <v>1</v>
      </c>
      <c r="E132" s="3">
        <v>2</v>
      </c>
      <c r="F132" s="10">
        <v>0</v>
      </c>
      <c r="G132" s="10">
        <v>0</v>
      </c>
      <c r="H132" s="3">
        <v>2</v>
      </c>
      <c r="I132" s="3">
        <v>8</v>
      </c>
      <c r="J132" s="3" t="s">
        <v>563</v>
      </c>
      <c r="K132" s="3">
        <v>30</v>
      </c>
      <c r="L132" s="3" t="s">
        <v>201</v>
      </c>
      <c r="M132" s="3" t="s">
        <v>199</v>
      </c>
      <c r="N132" s="3">
        <v>10</v>
      </c>
      <c r="O132" s="3">
        <v>10</v>
      </c>
      <c r="P132" s="3">
        <v>14</v>
      </c>
      <c r="Q132" s="3" t="s">
        <v>200</v>
      </c>
      <c r="R132" s="3">
        <v>7</v>
      </c>
      <c r="S132" s="3">
        <v>9</v>
      </c>
      <c r="T132" s="3">
        <v>4</v>
      </c>
      <c r="V132" s="16">
        <f t="shared" si="33"/>
        <v>0.66666666666666663</v>
      </c>
      <c r="W132" s="16">
        <f t="shared" si="34"/>
        <v>0.88888888888888884</v>
      </c>
      <c r="X132" s="17" cm="1">
        <f t="array" ref="X132">$H132 *
IF(ISNUMBER(SEARCH("Rapid",$L132)),7/6,1) *
IF(OR(ISNUMBER(SEARCH("Beam",$L132)),ISNUMBER(SEARCH("Firestorm",$L132))),1, IF(ISNUMBER(SEARCH("Blast",$L132)),(4+$F132+(2-$F132)*0.5)/6*2,(4+$F132)/6)) *
IF(ISNUMBER(SEARCH("Fusion",$L132)), _xlfn.IFS(X$24-$I132 &lt;=1, 9/10, X$24-$I132 &lt;=10,(11-(X$24-$I132))/10, X$24-$I132 &gt;=11, 0),
_xlfn.IFS(X$24-$I132 &lt;=1, 5/6, X$24-$I132 &lt;=5, (7-(X$24-$I132))/6, AND(X$24-$I132 =6,NOT(_xlfn.IFNA(ISNUMBER(SEARCH("Rending",$L132)),FALSE))), (7-(X$24-$I132))/6, AND(X$24-$I132 &gt;=7,NOT(_xlfn.IFNA(ISNUMBER(SEARCH("Rending",$L132)),FALSE))), 0, X$24-$I132 =7, (7-(X$24-1-$I132))/6, X$24-$I132 =8, (7-(X$24-2-$I132))/6*2/3, X$24-$I132 =9, (7-(X$24-3-$I132))/6*1/3, TRUE, 0)) *
IF(ISNUMBER(SEARCH("Ordinance",$L132)),7/6,1) *
IF(OR(ISNUMBER(SEARCH("Melee",$L132)),ISNUMBER(SEARCH("Bypass",$L132))),1.5,1)</f>
        <v>1.1111111111111112</v>
      </c>
      <c r="Y132" s="17" cm="1">
        <f t="array" ref="Y132">$H132 *
IF(ISNUMBER(SEARCH("Rapid",$L132)),7/6,1) *
IF(OR(ISNUMBER(SEARCH("Beam",$L132)),ISNUMBER(SEARCH("Firestorm",$L132))),1, IF(ISNUMBER(SEARCH("Blast",$L132)),(4+$F132+(2-$F132)*0.5)/6*2,(4+$F132)/6)) *
IF(ISNUMBER(SEARCH("Fusion",$L132)), _xlfn.IFS(Y$24-$I132 &lt;=1, 9/10, Y$24-$I132 &lt;=10,(11-(Y$24-$I132))/10, Y$24-$I132 &gt;=11, 0),
_xlfn.IFS(Y$24-$I132 &lt;=1, 5/6, Y$24-$I132 &lt;=5, (7-(Y$24-$I132))/6, AND(Y$24-$I132 =6,NOT(_xlfn.IFNA(ISNUMBER(SEARCH("Rending",$L132)),FALSE))), (7-(Y$24-$I132))/6, AND(Y$24-$I132 &gt;=7,NOT(_xlfn.IFNA(ISNUMBER(SEARCH("Rending",$L132)),FALSE))), 0, Y$24-$I132 =7, (7-(Y$24-1-$I132))/6, Y$24-$I132 =8, (7-(Y$24-2-$I132))/6*2/3, Y$24-$I132 =9, (7-(Y$24-3-$I132))/6*1/3, TRUE, 0)) *
IF(ISNUMBER(SEARCH("Ordinance",$L132)),7/6,1) *
IF(OR(ISNUMBER(SEARCH("Melee",$L132)),ISNUMBER(SEARCH("Bypass",$L132))),1.5,1)</f>
        <v>1.1111111111111112</v>
      </c>
      <c r="Z132" s="17" cm="1">
        <f t="array" ref="Z132">$H132 *
IF(ISNUMBER(SEARCH("Rapid",$L132)),7/6,1) *
IF(OR(ISNUMBER(SEARCH("Beam",$L132)),ISNUMBER(SEARCH("Firestorm",$L132))),1, IF(ISNUMBER(SEARCH("Blast",$L132)),(4+$F132+(2-$F132)*0.5)/6*2,(4+$F132)/6)) *
IF(ISNUMBER(SEARCH("Fusion",$L132)), _xlfn.IFS(Z$24-$I132 &lt;=1, 9/10, Z$24-$I132 &lt;=10,(11-(Z$24-$I132))/10, Z$24-$I132 &gt;=11, 0),
_xlfn.IFS(Z$24-$I132 &lt;=1, 5/6, Z$24-$I132 &lt;=5, (7-(Z$24-$I132))/6, AND(Z$24-$I132 =6,NOT(_xlfn.IFNA(ISNUMBER(SEARCH("Rending",$L132)),FALSE))), (7-(Z$24-$I132))/6, AND(Z$24-$I132 &gt;=7,NOT(_xlfn.IFNA(ISNUMBER(SEARCH("Rending",$L132)),FALSE))), 0, Z$24-$I132 =7, (7-(Z$24-1-$I132))/6, Z$24-$I132 =8, (7-(Z$24-2-$I132))/6*2/3, Z$24-$I132 =9, (7-(Z$24-3-$I132))/6*1/3, TRUE, 0)) *
IF(ISNUMBER(SEARCH("Ordinance",$L132)),7/6,1) *
IF(OR(ISNUMBER(SEARCH("Melee",$L132)),ISNUMBER(SEARCH("Bypass",$L132))),1.5,1)</f>
        <v>0.88888888888888884</v>
      </c>
      <c r="AA132" s="17" cm="1">
        <f t="array" ref="AA132">$H132 *
IF(ISNUMBER(SEARCH("Rapid",$L132)),7/6,1) *
IF(OR(ISNUMBER(SEARCH("Beam",$L132)),ISNUMBER(SEARCH("Firestorm",$L132))),1, IF(ISNUMBER(SEARCH("Blast",$L132)),(4+$F132+(2-$F132)*0.5)/6*2,(4+$F132)/6)) *
IF(ISNUMBER(SEARCH("Fusion",$L132)), _xlfn.IFS(AA$24-$I132 &lt;=1, 9/10, AA$24-$I132 &lt;=10,(11-(AA$24-$I132))/10, AA$24-$I132 &gt;=11, 0),
_xlfn.IFS(AA$24-$I132 &lt;=1, 5/6, AA$24-$I132 &lt;=5, (7-(AA$24-$I132))/6, AND(AA$24-$I132 =6,NOT(_xlfn.IFNA(ISNUMBER(SEARCH("Rending",$L132)),FALSE))), (7-(AA$24-$I132))/6, AND(AA$24-$I132 &gt;=7,NOT(_xlfn.IFNA(ISNUMBER(SEARCH("Rending",$L132)),FALSE))), 0, AA$24-$I132 =7, (7-(AA$24-1-$I132))/6, AA$24-$I132 =8, (7-(AA$24-2-$I132))/6*2/3, AA$24-$I132 =9, (7-(AA$24-3-$I132))/6*1/3, TRUE, 0)) *
IF(ISNUMBER(SEARCH("Ordinance",$L132)),7/6,1) *
IF(OR(ISNUMBER(SEARCH("Melee",$L132)),ISNUMBER(SEARCH("Bypass",$L132))),1.5,1)</f>
        <v>0.66666666666666663</v>
      </c>
      <c r="AB132" s="17" cm="1">
        <f t="array" ref="AB132">$H132 *
IF(ISNUMBER(SEARCH("Rapid",$L132)),7/6,1) *
IF(OR(ISNUMBER(SEARCH("Beam",$L132)),ISNUMBER(SEARCH("Firestorm",$L132))),1, IF(ISNUMBER(SEARCH("Blast",$L132)),(4+$F132+(2-$F132)*0.5)/6*2,(4+$F132)/6)) *
IF(ISNUMBER(SEARCH("Fusion",$L132)), _xlfn.IFS(AB$24-$I132 &lt;=1, 9/10, AB$24-$I132 &lt;=10,(11-(AB$24-$I132))/10, AB$24-$I132 &gt;=11, 0),
_xlfn.IFS(AB$24-$I132 &lt;=1, 5/6, AB$24-$I132 &lt;=5, (7-(AB$24-$I132))/6, AND(AB$24-$I132 =6,NOT(_xlfn.IFNA(ISNUMBER(SEARCH("Rending",$L132)),FALSE))), (7-(AB$24-$I132))/6, AND(AB$24-$I132 &gt;=7,NOT(_xlfn.IFNA(ISNUMBER(SEARCH("Rending",$L132)),FALSE))), 0, AB$24-$I132 =7, (7-(AB$24-1-$I132))/6, AB$24-$I132 =8, (7-(AB$24-2-$I132))/6*2/3, AB$24-$I132 =9, (7-(AB$24-3-$I132))/6*1/3, TRUE, 0)) *
IF(ISNUMBER(SEARCH("Ordinance",$L132)),7/6,1) *
IF(OR(ISNUMBER(SEARCH("Melee",$L132)),ISNUMBER(SEARCH("Bypass",$L132))),1.5,1)</f>
        <v>0.44444444444444442</v>
      </c>
      <c r="AC132" s="17" cm="1">
        <f t="array" ref="AC132">$H132 *
IF(ISNUMBER(SEARCH("Rapid",$L132)),7/6,1) *
IF(OR(ISNUMBER(SEARCH("Beam",$L132)),ISNUMBER(SEARCH("Firestorm",$L132))),1, IF(ISNUMBER(SEARCH("Blast",$L132)),(4+$F132+(2-$F132)*0.5)/6*2,(4+$F132)/6)) *
IF(ISNUMBER(SEARCH("Fusion",$L132)), _xlfn.IFS(AC$24-$I132 &lt;=1, 9/10, AC$24-$I132 &lt;=10,(11-(AC$24-$I132))/10, AC$24-$I132 &gt;=11, 0),
_xlfn.IFS(AC$24-$I132 &lt;=1, 5/6, AC$24-$I132 &lt;=5, (7-(AC$24-$I132))/6, AND(AC$24-$I132 =6,NOT(_xlfn.IFNA(ISNUMBER(SEARCH("Rending",$L132)),FALSE))), (7-(AC$24-$I132))/6, AND(AC$24-$I132 &gt;=7,NOT(_xlfn.IFNA(ISNUMBER(SEARCH("Rending",$L132)),FALSE))), 0, AC$24-$I132 =7, (7-(AC$24-1-$I132))/6, AC$24-$I132 =8, (7-(AC$24-2-$I132))/6*2/3, AC$24-$I132 =9, (7-(AC$24-3-$I132))/6*1/3, TRUE, 0)) *
IF(ISNUMBER(SEARCH("Ordinance",$L132)),7/6,1) *
IF(OR(ISNUMBER(SEARCH("Melee",$L132)),ISNUMBER(SEARCH("Bypass",$L132))),1.5,1)</f>
        <v>0.22222222222222221</v>
      </c>
      <c r="AD132" s="17" cm="1">
        <f t="array" ref="AD132">$H132 *
IF(ISNUMBER(SEARCH("Rapid",$L132)),7/6,1) *
IF(OR(ISNUMBER(SEARCH("Beam",$L132)),ISNUMBER(SEARCH("Firestorm",$L132))),1, IF(ISNUMBER(SEARCH("Blast",$L132)),(4+$F132+(2-$F132)*0.5)/6*2,(4+$F132)/6)) *
IF(ISNUMBER(SEARCH("Fusion",$L132)), _xlfn.IFS(AD$24-$I132 &lt;=1, 9/10, AD$24-$I132 &lt;=10,(11-(AD$24-$I132))/10, AD$24-$I132 &gt;=11, 0),
_xlfn.IFS(AD$24-$I132 &lt;=1, 5/6, AD$24-$I132 &lt;=5, (7-(AD$24-$I132))/6, AND(AD$24-$I132 =6,NOT(_xlfn.IFNA(ISNUMBER(SEARCH("Rending",$L132)),FALSE))), (7-(AD$24-$I132))/6, AND(AD$24-$I132 &gt;=7,NOT(_xlfn.IFNA(ISNUMBER(SEARCH("Rending",$L132)),FALSE))), 0, AD$24-$I132 =7, (7-(AD$24-1-$I132))/6, AD$24-$I132 =8, (7-(AD$24-2-$I132))/6*2/3, AD$24-$I132 =9, (7-(AD$24-3-$I132))/6*1/3, TRUE, 0)) *
IF(ISNUMBER(SEARCH("Ordinance",$L132)),7/6,1) *
IF(OR(ISNUMBER(SEARCH("Melee",$L132)),ISNUMBER(SEARCH("Bypass",$L132))),1.5,1)</f>
        <v>0</v>
      </c>
      <c r="AE132" s="17" cm="1">
        <f t="array" ref="AE132">$H132 *
IF(ISNUMBER(SEARCH("Rapid",$L132)),7/6,1) *
IF(OR(ISNUMBER(SEARCH("Beam",$L132)),ISNUMBER(SEARCH("Firestorm",$L132))),1, IF(ISNUMBER(SEARCH("Blast",$L132)),(4+$F132+(2-$F132)*0.5)/6*2,(4+$F132)/6)) *
IF(ISNUMBER(SEARCH("Fusion",$L132)), _xlfn.IFS(AE$24-$I132 &lt;=1, 9/10, AE$24-$I132 &lt;=10,(11-(AE$24-$I132))/10, AE$24-$I132 &gt;=11, 0),
_xlfn.IFS(AE$24-$I132 &lt;=1, 5/6, AE$24-$I132 &lt;=5, (7-(AE$24-$I132))/6, AND(AE$24-$I132 =6,NOT(_xlfn.IFNA(ISNUMBER(SEARCH("Rending",$L132)),FALSE))), (7-(AE$24-$I132))/6, AND(AE$24-$I132 &gt;=7,NOT(_xlfn.IFNA(ISNUMBER(SEARCH("Rending",$L132)),FALSE))), 0, AE$24-$I132 =7, (7-(AE$24-1-$I132))/6, AE$24-$I132 =8, (7-(AE$24-2-$I132))/6*2/3, AE$24-$I132 =9, (7-(AE$24-3-$I132))/6*1/3, TRUE, 0)) *
IF(ISNUMBER(SEARCH("Ordinance",$L132)),7/6,1) *
IF(OR(ISNUMBER(SEARCH("Melee",$L132)),ISNUMBER(SEARCH("Bypass",$L132))),1.5,1)</f>
        <v>0</v>
      </c>
      <c r="AF132" s="17" cm="1">
        <f t="array" ref="AF132">$H132 *
IF(ISNUMBER(SEARCH("Rapid",$L132)),7/6,1) *
IF(OR(ISNUMBER(SEARCH("Beam",$L132)),ISNUMBER(SEARCH("Firestorm",$L132))),1, IF(ISNUMBER(SEARCH("Blast",$L132)),(4+$F132+(2-$F132)*0.5)/6*2,(4+$F132)/6)) *
IF(ISNUMBER(SEARCH("Fusion",$L132)), _xlfn.IFS(AF$24-$I132 &lt;=1, 9/10, AF$24-$I132 &lt;=10,(11-(AF$24-$I132))/10, AF$24-$I132 &gt;=11, 0),
_xlfn.IFS(AF$24-$I132 &lt;=1, 5/6, AF$24-$I132 &lt;=5, (7-(AF$24-$I132))/6, AND(AF$24-$I132 =6,NOT(_xlfn.IFNA(ISNUMBER(SEARCH("Rending",$L132)),FALSE))), (7-(AF$24-$I132))/6, AND(AF$24-$I132 &gt;=7,NOT(_xlfn.IFNA(ISNUMBER(SEARCH("Rending",$L132)),FALSE))), 0, AF$24-$I132 =7, (7-(AF$24-1-$I132))/6, AF$24-$I132 =8, (7-(AF$24-2-$I132))/6*2/3, AF$24-$I132 =9, (7-(AF$24-3-$I132))/6*1/3, TRUE, 0)) *
IF(ISNUMBER(SEARCH("Ordinance",$L132)),7/6,1) *
IF(OR(ISNUMBER(SEARCH("Melee",$L132)),ISNUMBER(SEARCH("Bypass",$L132))),1.5,1)</f>
        <v>0</v>
      </c>
      <c r="AG132" s="16">
        <f t="shared" si="35"/>
        <v>0.66666666666666663</v>
      </c>
      <c r="AH132" s="16">
        <f t="shared" si="36"/>
        <v>0.88888888888888884</v>
      </c>
      <c r="AI132" s="17" cm="1">
        <f t="array" ref="AI132">$H132 *
IF(ISNUMBER(SEARCH("Rapid",$L132)),7/6,1) *
IF(OR(ISNUMBER(SEARCH("Beam",$L132)),ISNUMBER(SEARCH("Firestorm",$L132))),1, IF(ISNUMBER(SEARCH("Blast",$L132)),(4+$G132+(2-$G132)*0.5)/6*2,(4+$G132)/6)) *
_xlfn.IFS(AI$24-$I132 &lt;=1, 5/6, AI$24-$I132 &lt;=5, (7-(AI$24-$I132))/6, AND(AI$24-$I132 =6,NOT(_xlfn.IFNA(ISNUMBER(SEARCH("Rending",$L132)),FALSE))), (7-(AI$24-$I132))/6, AND(AI$24-$I132 &gt;=7,NOT(_xlfn.IFNA(ISNUMBER(SEARCH("Rending",$L132)),FALSE))), 0, AI$24-$I132 =7, (7-(AI$24-1-$I132))/6, AI$24-$I132 =8, (7-(AI$24-2-$I132))/6*2/3, AI$24-$I132 =9, (7-(AI$24-3-$I132))/6*1/3, TRUE, 0) *
IF(ISNUMBER(SEARCH("Ordinance",$L132)),7/6,1) *
IF(OR(ISNUMBER(SEARCH("Melee",$L132)),ISNUMBER(SEARCH("Bypass",$L132))),1.5,1)</f>
        <v>1.1111111111111112</v>
      </c>
      <c r="AJ132" s="17" cm="1">
        <f t="array" ref="AJ132">$H132 *
IF(ISNUMBER(SEARCH("Rapid",$L132)),7/6,1) *
IF(OR(ISNUMBER(SEARCH("Beam",$L132)),ISNUMBER(SEARCH("Firestorm",$L132))),1, IF(ISNUMBER(SEARCH("Blast",$L132)),(4+$G132+(2-$G132)*0.5)/6*2,(4+$G132)/6)) *
_xlfn.IFS(AJ$24-$I132 &lt;=1, 5/6, AJ$24-$I132 &lt;=5, (7-(AJ$24-$I132))/6, AND(AJ$24-$I132 =6,NOT(_xlfn.IFNA(ISNUMBER(SEARCH("Rending",$L132)),FALSE))), (7-(AJ$24-$I132))/6, AND(AJ$24-$I132 &gt;=7,NOT(_xlfn.IFNA(ISNUMBER(SEARCH("Rending",$L132)),FALSE))), 0, AJ$24-$I132 =7, (7-(AJ$24-1-$I132))/6, AJ$24-$I132 =8, (7-(AJ$24-2-$I132))/6*2/3, AJ$24-$I132 =9, (7-(AJ$24-3-$I132))/6*1/3, TRUE, 0) *
IF(ISNUMBER(SEARCH("Ordinance",$L132)),7/6,1) *
IF(OR(ISNUMBER(SEARCH("Melee",$L132)),ISNUMBER(SEARCH("Bypass",$L132))),1.5,1)</f>
        <v>1.1111111111111112</v>
      </c>
      <c r="AK132" s="17" cm="1">
        <f t="array" ref="AK132">$H132 *
IF(ISNUMBER(SEARCH("Rapid",$L132)),7/6,1) *
IF(OR(ISNUMBER(SEARCH("Beam",$L132)),ISNUMBER(SEARCH("Firestorm",$L132))),1, IF(ISNUMBER(SEARCH("Blast",$L132)),(4+$G132+(2-$G132)*0.5)/6*2,(4+$G132)/6)) *
_xlfn.IFS(AK$24-$I132 &lt;=1, 5/6, AK$24-$I132 &lt;=5, (7-(AK$24-$I132))/6, AND(AK$24-$I132 =6,NOT(_xlfn.IFNA(ISNUMBER(SEARCH("Rending",$L132)),FALSE))), (7-(AK$24-$I132))/6, AND(AK$24-$I132 &gt;=7,NOT(_xlfn.IFNA(ISNUMBER(SEARCH("Rending",$L132)),FALSE))), 0, AK$24-$I132 =7, (7-(AK$24-1-$I132))/6, AK$24-$I132 =8, (7-(AK$24-2-$I132))/6*2/3, AK$24-$I132 =9, (7-(AK$24-3-$I132))/6*1/3, TRUE, 0) *
IF(ISNUMBER(SEARCH("Ordinance",$L132)),7/6,1) *
IF(OR(ISNUMBER(SEARCH("Melee",$L132)),ISNUMBER(SEARCH("Bypass",$L132))),1.5,1)</f>
        <v>0.88888888888888884</v>
      </c>
      <c r="AL132" s="17" cm="1">
        <f t="array" ref="AL132">$H132 *
IF(ISNUMBER(SEARCH("Rapid",$L132)),7/6,1) *
IF(OR(ISNUMBER(SEARCH("Beam",$L132)),ISNUMBER(SEARCH("Firestorm",$L132))),1, IF(ISNUMBER(SEARCH("Blast",$L132)),(4+$G132+(2-$G132)*0.5)/6*2,(4+$G132)/6)) *
_xlfn.IFS(AL$24-$I132 &lt;=1, 5/6, AL$24-$I132 &lt;=5, (7-(AL$24-$I132))/6, AND(AL$24-$I132 =6,NOT(_xlfn.IFNA(ISNUMBER(SEARCH("Rending",$L132)),FALSE))), (7-(AL$24-$I132))/6, AND(AL$24-$I132 &gt;=7,NOT(_xlfn.IFNA(ISNUMBER(SEARCH("Rending",$L132)),FALSE))), 0, AL$24-$I132 =7, (7-(AL$24-1-$I132))/6, AL$24-$I132 =8, (7-(AL$24-2-$I132))/6*2/3, AL$24-$I132 =9, (7-(AL$24-3-$I132))/6*1/3, TRUE, 0) *
IF(ISNUMBER(SEARCH("Ordinance",$L132)),7/6,1) *
IF(OR(ISNUMBER(SEARCH("Melee",$L132)),ISNUMBER(SEARCH("Bypass",$L132))),1.5,1)</f>
        <v>0.66666666666666663</v>
      </c>
      <c r="AM132" s="17" cm="1">
        <f t="array" ref="AM132">$H132 *
IF(ISNUMBER(SEARCH("Rapid",$L132)),7/6,1) *
IF(OR(ISNUMBER(SEARCH("Beam",$L132)),ISNUMBER(SEARCH("Firestorm",$L132))),1, IF(ISNUMBER(SEARCH("Blast",$L132)),(4+$G132+(2-$G132)*0.5)/6*2,(4+$G132)/6)) *
_xlfn.IFS(AM$24-$I132 &lt;=1, 5/6, AM$24-$I132 &lt;=5, (7-(AM$24-$I132))/6, AND(AM$24-$I132 =6,NOT(_xlfn.IFNA(ISNUMBER(SEARCH("Rending",$L132)),FALSE))), (7-(AM$24-$I132))/6, AND(AM$24-$I132 &gt;=7,NOT(_xlfn.IFNA(ISNUMBER(SEARCH("Rending",$L132)),FALSE))), 0, AM$24-$I132 =7, (7-(AM$24-1-$I132))/6, AM$24-$I132 =8, (7-(AM$24-2-$I132))/6*2/3, AM$24-$I132 =9, (7-(AM$24-3-$I132))/6*1/3, TRUE, 0) *
IF(ISNUMBER(SEARCH("Ordinance",$L132)),7/6,1) *
IF(OR(ISNUMBER(SEARCH("Melee",$L132)),ISNUMBER(SEARCH("Bypass",$L132))),1.5,1)</f>
        <v>0.44444444444444442</v>
      </c>
      <c r="AN132" s="17" cm="1">
        <f t="array" ref="AN132">$H132 *
IF(ISNUMBER(SEARCH("Rapid",$L132)),7/6,1) *
IF(OR(ISNUMBER(SEARCH("Beam",$L132)),ISNUMBER(SEARCH("Firestorm",$L132))),1, IF(ISNUMBER(SEARCH("Blast",$L132)),(4+$G132+(2-$G132)*0.5)/6*2,(4+$G132)/6)) *
_xlfn.IFS(AN$24-$I132 &lt;=1, 5/6, AN$24-$I132 &lt;=5, (7-(AN$24-$I132))/6, AND(AN$24-$I132 =6,NOT(_xlfn.IFNA(ISNUMBER(SEARCH("Rending",$L132)),FALSE))), (7-(AN$24-$I132))/6, AND(AN$24-$I132 &gt;=7,NOT(_xlfn.IFNA(ISNUMBER(SEARCH("Rending",$L132)),FALSE))), 0, AN$24-$I132 =7, (7-(AN$24-1-$I132))/6, AN$24-$I132 =8, (7-(AN$24-2-$I132))/6*2/3, AN$24-$I132 =9, (7-(AN$24-3-$I132))/6*1/3, TRUE, 0) *
IF(ISNUMBER(SEARCH("Ordinance",$L132)),7/6,1) *
IF(OR(ISNUMBER(SEARCH("Melee",$L132)),ISNUMBER(SEARCH("Bypass",$L132))),1.5,1)</f>
        <v>0.22222222222222221</v>
      </c>
      <c r="AO132" s="17" cm="1">
        <f t="array" ref="AO132">$H132 *
IF(ISNUMBER(SEARCH("Rapid",$L132)),7/6,1) *
IF(OR(ISNUMBER(SEARCH("Beam",$L132)),ISNUMBER(SEARCH("Firestorm",$L132))),1, IF(ISNUMBER(SEARCH("Blast",$L132)),(4+$G132+(2-$G132)*0.5)/6*2,(4+$G132)/6)) *
_xlfn.IFS(AO$24-$I132 &lt;=1, 5/6, AO$24-$I132 &lt;=5, (7-(AO$24-$I132))/6, AND(AO$24-$I132 =6,NOT(_xlfn.IFNA(ISNUMBER(SEARCH("Rending",$L132)),FALSE))), (7-(AO$24-$I132))/6, AND(AO$24-$I132 &gt;=7,NOT(_xlfn.IFNA(ISNUMBER(SEARCH("Rending",$L132)),FALSE))), 0, AO$24-$I132 =7, (7-(AO$24-1-$I132))/6, AO$24-$I132 =8, (7-(AO$24-2-$I132))/6*2/3, AO$24-$I132 =9, (7-(AO$24-3-$I132))/6*1/3, TRUE, 0) *
IF(ISNUMBER(SEARCH("Ordinance",$L132)),7/6,1) *
IF(OR(ISNUMBER(SEARCH("Melee",$L132)),ISNUMBER(SEARCH("Bypass",$L132))),1.5,1)</f>
        <v>0</v>
      </c>
      <c r="AP132" s="17" cm="1">
        <f t="array" ref="AP132">$H132 *
IF(ISNUMBER(SEARCH("Rapid",$L132)),7/6,1) *
IF(OR(ISNUMBER(SEARCH("Beam",$L132)),ISNUMBER(SEARCH("Firestorm",$L132))),1, IF(ISNUMBER(SEARCH("Blast",$L132)),(4+$G132+(2-$G132)*0.5)/6*2,(4+$G132)/6)) *
_xlfn.IFS(AP$24-$I132 &lt;=1, 5/6, AP$24-$I132 &lt;=5, (7-(AP$24-$I132))/6, AND(AP$24-$I132 =6,NOT(_xlfn.IFNA(ISNUMBER(SEARCH("Rending",$L132)),FALSE))), (7-(AP$24-$I132))/6, AND(AP$24-$I132 &gt;=7,NOT(_xlfn.IFNA(ISNUMBER(SEARCH("Rending",$L132)),FALSE))), 0, AP$24-$I132 =7, (7-(AP$24-1-$I132))/6, AP$24-$I132 =8, (7-(AP$24-2-$I132))/6*2/3, AP$24-$I132 =9, (7-(AP$24-3-$I132))/6*1/3, TRUE, 0) *
IF(ISNUMBER(SEARCH("Ordinance",$L132)),7/6,1) *
IF(OR(ISNUMBER(SEARCH("Melee",$L132)),ISNUMBER(SEARCH("Bypass",$L132))),1.5,1)</f>
        <v>0</v>
      </c>
      <c r="AQ132" s="17" cm="1">
        <f t="array" ref="AQ132">$H132 *
IF(ISNUMBER(SEARCH("Rapid",$L132)),7/6,1) *
IF(OR(ISNUMBER(SEARCH("Beam",$L132)),ISNUMBER(SEARCH("Firestorm",$L132))),1, IF(ISNUMBER(SEARCH("Blast",$L132)),(4+$G132+(2-$G132)*0.5)/6*2,(4+$G132)/6)) *
_xlfn.IFS(AQ$24-$I132 &lt;=1, 5/6, AQ$24-$I132 &lt;=5, (7-(AQ$24-$I132))/6, AND(AQ$24-$I132 =6,NOT(_xlfn.IFNA(ISNUMBER(SEARCH("Rending",$L132)),FALSE))), (7-(AQ$24-$I132))/6, AND(AQ$24-$I132 &gt;=7,NOT(_xlfn.IFNA(ISNUMBER(SEARCH("Rending",$L132)),FALSE))), 0, AQ$24-$I132 =7, (7-(AQ$24-1-$I132))/6, AQ$24-$I132 =8, (7-(AQ$24-2-$I132))/6*2/3, AQ$24-$I132 =9, (7-(AQ$24-3-$I132))/6*1/3, TRUE, 0) *
IF(ISNUMBER(SEARCH("Ordinance",$L132)),7/6,1) *
IF(OR(ISNUMBER(SEARCH("Melee",$L132)),ISNUMBER(SEARCH("Bypass",$L132))),1.5,1)</f>
        <v>0</v>
      </c>
      <c r="AS132" s="16">
        <f t="shared" si="30"/>
        <v>0.44444444444444442</v>
      </c>
      <c r="AT132" s="16">
        <f t="shared" si="31"/>
        <v>0.59259259259259256</v>
      </c>
      <c r="AU132" s="16">
        <f t="shared" si="32"/>
        <v>0.92592592592592593</v>
      </c>
      <c r="AV132" s="2">
        <v>10</v>
      </c>
    </row>
    <row r="133" spans="1:48" x14ac:dyDescent="0.3">
      <c r="A133" t="s">
        <v>176</v>
      </c>
      <c r="B133" s="3">
        <v>8</v>
      </c>
      <c r="C133" s="3">
        <v>24</v>
      </c>
      <c r="D133" s="3">
        <v>1</v>
      </c>
      <c r="E133" s="3">
        <v>1</v>
      </c>
      <c r="F133" s="10">
        <v>0</v>
      </c>
      <c r="G133" s="10">
        <v>-1</v>
      </c>
      <c r="H133" s="3">
        <v>2</v>
      </c>
      <c r="I133" s="3">
        <v>8</v>
      </c>
      <c r="J133" s="3" t="s">
        <v>563</v>
      </c>
      <c r="K133" s="3">
        <v>40</v>
      </c>
      <c r="L133" s="3" t="s">
        <v>204</v>
      </c>
      <c r="M133" s="3" t="s">
        <v>199</v>
      </c>
      <c r="N133" s="3">
        <v>10</v>
      </c>
      <c r="O133" s="3">
        <v>10</v>
      </c>
      <c r="P133" s="3">
        <v>14</v>
      </c>
      <c r="Q133" s="3" t="s">
        <v>200</v>
      </c>
      <c r="R133" s="3">
        <v>7</v>
      </c>
      <c r="S133" s="3">
        <v>9</v>
      </c>
      <c r="T133" s="3">
        <v>4</v>
      </c>
      <c r="V133" s="16">
        <f t="shared" si="33"/>
        <v>1.1111111111111112</v>
      </c>
      <c r="W133" s="16">
        <f t="shared" si="34"/>
        <v>1.6666666666666667</v>
      </c>
      <c r="X133" s="17" cm="1">
        <f t="array" ref="X133">$H133 *
IF(ISNUMBER(SEARCH("Rapid",$L133)),7/6,1) *
IF(OR(ISNUMBER(SEARCH("Beam",$L133)),ISNUMBER(SEARCH("Firestorm",$L133))),1, IF(ISNUMBER(SEARCH("Blast",$L133)),(4+$F133+(2-$F133)*0.5)/6*2,(4+$F133)/6)) *
IF(ISNUMBER(SEARCH("Fusion",$L133)), _xlfn.IFS(X$24-$I133 &lt;=1, 9/10, X$24-$I133 &lt;=10,(11-(X$24-$I133))/10, X$24-$I133 &gt;=11, 0),
_xlfn.IFS(X$24-$I133 &lt;=1, 5/6, X$24-$I133 &lt;=5, (7-(X$24-$I133))/6, AND(X$24-$I133 =6,NOT(_xlfn.IFNA(ISNUMBER(SEARCH("Rending",$L133)),FALSE))), (7-(X$24-$I133))/6, AND(X$24-$I133 &gt;=7,NOT(_xlfn.IFNA(ISNUMBER(SEARCH("Rending",$L133)),FALSE))), 0, X$24-$I133 =7, (7-(X$24-1-$I133))/6, X$24-$I133 =8, (7-(X$24-2-$I133))/6*2/3, X$24-$I133 =9, (7-(X$24-3-$I133))/6*1/3, TRUE, 0)) *
IF(ISNUMBER(SEARCH("Ordinance",$L133)),7/6,1) *
IF(OR(ISNUMBER(SEARCH("Melee",$L133)),ISNUMBER(SEARCH("Bypass",$L133))),1.5,1)</f>
        <v>2.7777777777777781</v>
      </c>
      <c r="Y133" s="17" cm="1">
        <f t="array" ref="Y133">$H133 *
IF(ISNUMBER(SEARCH("Rapid",$L133)),7/6,1) *
IF(OR(ISNUMBER(SEARCH("Beam",$L133)),ISNUMBER(SEARCH("Firestorm",$L133))),1, IF(ISNUMBER(SEARCH("Blast",$L133)),(4+$F133+(2-$F133)*0.5)/6*2,(4+$F133)/6)) *
IF(ISNUMBER(SEARCH("Fusion",$L133)), _xlfn.IFS(Y$24-$I133 &lt;=1, 9/10, Y$24-$I133 &lt;=10,(11-(Y$24-$I133))/10, Y$24-$I133 &gt;=11, 0),
_xlfn.IFS(Y$24-$I133 &lt;=1, 5/6, Y$24-$I133 &lt;=5, (7-(Y$24-$I133))/6, AND(Y$24-$I133 =6,NOT(_xlfn.IFNA(ISNUMBER(SEARCH("Rending",$L133)),FALSE))), (7-(Y$24-$I133))/6, AND(Y$24-$I133 &gt;=7,NOT(_xlfn.IFNA(ISNUMBER(SEARCH("Rending",$L133)),FALSE))), 0, Y$24-$I133 =7, (7-(Y$24-1-$I133))/6, Y$24-$I133 =8, (7-(Y$24-2-$I133))/6*2/3, Y$24-$I133 =9, (7-(Y$24-3-$I133))/6*1/3, TRUE, 0)) *
IF(ISNUMBER(SEARCH("Ordinance",$L133)),7/6,1) *
IF(OR(ISNUMBER(SEARCH("Melee",$L133)),ISNUMBER(SEARCH("Bypass",$L133))),1.5,1)</f>
        <v>2.7777777777777781</v>
      </c>
      <c r="Z133" s="17" cm="1">
        <f t="array" ref="Z133">$H133 *
IF(ISNUMBER(SEARCH("Rapid",$L133)),7/6,1) *
IF(OR(ISNUMBER(SEARCH("Beam",$L133)),ISNUMBER(SEARCH("Firestorm",$L133))),1, IF(ISNUMBER(SEARCH("Blast",$L133)),(4+$F133+(2-$F133)*0.5)/6*2,(4+$F133)/6)) *
IF(ISNUMBER(SEARCH("Fusion",$L133)), _xlfn.IFS(Z$24-$I133 &lt;=1, 9/10, Z$24-$I133 &lt;=10,(11-(Z$24-$I133))/10, Z$24-$I133 &gt;=11, 0),
_xlfn.IFS(Z$24-$I133 &lt;=1, 5/6, Z$24-$I133 &lt;=5, (7-(Z$24-$I133))/6, AND(Z$24-$I133 =6,NOT(_xlfn.IFNA(ISNUMBER(SEARCH("Rending",$L133)),FALSE))), (7-(Z$24-$I133))/6, AND(Z$24-$I133 &gt;=7,NOT(_xlfn.IFNA(ISNUMBER(SEARCH("Rending",$L133)),FALSE))), 0, Z$24-$I133 =7, (7-(Z$24-1-$I133))/6, Z$24-$I133 =8, (7-(Z$24-2-$I133))/6*2/3, Z$24-$I133 =9, (7-(Z$24-3-$I133))/6*1/3, TRUE, 0)) *
IF(ISNUMBER(SEARCH("Ordinance",$L133)),7/6,1) *
IF(OR(ISNUMBER(SEARCH("Melee",$L133)),ISNUMBER(SEARCH("Bypass",$L133))),1.5,1)</f>
        <v>2.2222222222222223</v>
      </c>
      <c r="AA133" s="17" cm="1">
        <f t="array" ref="AA133">$H133 *
IF(ISNUMBER(SEARCH("Rapid",$L133)),7/6,1) *
IF(OR(ISNUMBER(SEARCH("Beam",$L133)),ISNUMBER(SEARCH("Firestorm",$L133))),1, IF(ISNUMBER(SEARCH("Blast",$L133)),(4+$F133+(2-$F133)*0.5)/6*2,(4+$F133)/6)) *
IF(ISNUMBER(SEARCH("Fusion",$L133)), _xlfn.IFS(AA$24-$I133 &lt;=1, 9/10, AA$24-$I133 &lt;=10,(11-(AA$24-$I133))/10, AA$24-$I133 &gt;=11, 0),
_xlfn.IFS(AA$24-$I133 &lt;=1, 5/6, AA$24-$I133 &lt;=5, (7-(AA$24-$I133))/6, AND(AA$24-$I133 =6,NOT(_xlfn.IFNA(ISNUMBER(SEARCH("Rending",$L133)),FALSE))), (7-(AA$24-$I133))/6, AND(AA$24-$I133 &gt;=7,NOT(_xlfn.IFNA(ISNUMBER(SEARCH("Rending",$L133)),FALSE))), 0, AA$24-$I133 =7, (7-(AA$24-1-$I133))/6, AA$24-$I133 =8, (7-(AA$24-2-$I133))/6*2/3, AA$24-$I133 =9, (7-(AA$24-3-$I133))/6*1/3, TRUE, 0)) *
IF(ISNUMBER(SEARCH("Ordinance",$L133)),7/6,1) *
IF(OR(ISNUMBER(SEARCH("Melee",$L133)),ISNUMBER(SEARCH("Bypass",$L133))),1.5,1)</f>
        <v>1.6666666666666667</v>
      </c>
      <c r="AB133" s="17" cm="1">
        <f t="array" ref="AB133">$H133 *
IF(ISNUMBER(SEARCH("Rapid",$L133)),7/6,1) *
IF(OR(ISNUMBER(SEARCH("Beam",$L133)),ISNUMBER(SEARCH("Firestorm",$L133))),1, IF(ISNUMBER(SEARCH("Blast",$L133)),(4+$F133+(2-$F133)*0.5)/6*2,(4+$F133)/6)) *
IF(ISNUMBER(SEARCH("Fusion",$L133)), _xlfn.IFS(AB$24-$I133 &lt;=1, 9/10, AB$24-$I133 &lt;=10,(11-(AB$24-$I133))/10, AB$24-$I133 &gt;=11, 0),
_xlfn.IFS(AB$24-$I133 &lt;=1, 5/6, AB$24-$I133 &lt;=5, (7-(AB$24-$I133))/6, AND(AB$24-$I133 =6,NOT(_xlfn.IFNA(ISNUMBER(SEARCH("Rending",$L133)),FALSE))), (7-(AB$24-$I133))/6, AND(AB$24-$I133 &gt;=7,NOT(_xlfn.IFNA(ISNUMBER(SEARCH("Rending",$L133)),FALSE))), 0, AB$24-$I133 =7, (7-(AB$24-1-$I133))/6, AB$24-$I133 =8, (7-(AB$24-2-$I133))/6*2/3, AB$24-$I133 =9, (7-(AB$24-3-$I133))/6*1/3, TRUE, 0)) *
IF(ISNUMBER(SEARCH("Ordinance",$L133)),7/6,1) *
IF(OR(ISNUMBER(SEARCH("Melee",$L133)),ISNUMBER(SEARCH("Bypass",$L133))),1.5,1)</f>
        <v>1.1111111111111112</v>
      </c>
      <c r="AC133" s="17" cm="1">
        <f t="array" ref="AC133">$H133 *
IF(ISNUMBER(SEARCH("Rapid",$L133)),7/6,1) *
IF(OR(ISNUMBER(SEARCH("Beam",$L133)),ISNUMBER(SEARCH("Firestorm",$L133))),1, IF(ISNUMBER(SEARCH("Blast",$L133)),(4+$F133+(2-$F133)*0.5)/6*2,(4+$F133)/6)) *
IF(ISNUMBER(SEARCH("Fusion",$L133)), _xlfn.IFS(AC$24-$I133 &lt;=1, 9/10, AC$24-$I133 &lt;=10,(11-(AC$24-$I133))/10, AC$24-$I133 &gt;=11, 0),
_xlfn.IFS(AC$24-$I133 &lt;=1, 5/6, AC$24-$I133 &lt;=5, (7-(AC$24-$I133))/6, AND(AC$24-$I133 =6,NOT(_xlfn.IFNA(ISNUMBER(SEARCH("Rending",$L133)),FALSE))), (7-(AC$24-$I133))/6, AND(AC$24-$I133 &gt;=7,NOT(_xlfn.IFNA(ISNUMBER(SEARCH("Rending",$L133)),FALSE))), 0, AC$24-$I133 =7, (7-(AC$24-1-$I133))/6, AC$24-$I133 =8, (7-(AC$24-2-$I133))/6*2/3, AC$24-$I133 =9, (7-(AC$24-3-$I133))/6*1/3, TRUE, 0)) *
IF(ISNUMBER(SEARCH("Ordinance",$L133)),7/6,1) *
IF(OR(ISNUMBER(SEARCH("Melee",$L133)),ISNUMBER(SEARCH("Bypass",$L133))),1.5,1)</f>
        <v>0.55555555555555558</v>
      </c>
      <c r="AD133" s="17" cm="1">
        <f t="array" ref="AD133">$H133 *
IF(ISNUMBER(SEARCH("Rapid",$L133)),7/6,1) *
IF(OR(ISNUMBER(SEARCH("Beam",$L133)),ISNUMBER(SEARCH("Firestorm",$L133))),1, IF(ISNUMBER(SEARCH("Blast",$L133)),(4+$F133+(2-$F133)*0.5)/6*2,(4+$F133)/6)) *
IF(ISNUMBER(SEARCH("Fusion",$L133)), _xlfn.IFS(AD$24-$I133 &lt;=1, 9/10, AD$24-$I133 &lt;=10,(11-(AD$24-$I133))/10, AD$24-$I133 &gt;=11, 0),
_xlfn.IFS(AD$24-$I133 &lt;=1, 5/6, AD$24-$I133 &lt;=5, (7-(AD$24-$I133))/6, AND(AD$24-$I133 =6,NOT(_xlfn.IFNA(ISNUMBER(SEARCH("Rending",$L133)),FALSE))), (7-(AD$24-$I133))/6, AND(AD$24-$I133 &gt;=7,NOT(_xlfn.IFNA(ISNUMBER(SEARCH("Rending",$L133)),FALSE))), 0, AD$24-$I133 =7, (7-(AD$24-1-$I133))/6, AD$24-$I133 =8, (7-(AD$24-2-$I133))/6*2/3, AD$24-$I133 =9, (7-(AD$24-3-$I133))/6*1/3, TRUE, 0)) *
IF(ISNUMBER(SEARCH("Ordinance",$L133)),7/6,1) *
IF(OR(ISNUMBER(SEARCH("Melee",$L133)),ISNUMBER(SEARCH("Bypass",$L133))),1.5,1)</f>
        <v>0</v>
      </c>
      <c r="AE133" s="17" cm="1">
        <f t="array" ref="AE133">$H133 *
IF(ISNUMBER(SEARCH("Rapid",$L133)),7/6,1) *
IF(OR(ISNUMBER(SEARCH("Beam",$L133)),ISNUMBER(SEARCH("Firestorm",$L133))),1, IF(ISNUMBER(SEARCH("Blast",$L133)),(4+$F133+(2-$F133)*0.5)/6*2,(4+$F133)/6)) *
IF(ISNUMBER(SEARCH("Fusion",$L133)), _xlfn.IFS(AE$24-$I133 &lt;=1, 9/10, AE$24-$I133 &lt;=10,(11-(AE$24-$I133))/10, AE$24-$I133 &gt;=11, 0),
_xlfn.IFS(AE$24-$I133 &lt;=1, 5/6, AE$24-$I133 &lt;=5, (7-(AE$24-$I133))/6, AND(AE$24-$I133 =6,NOT(_xlfn.IFNA(ISNUMBER(SEARCH("Rending",$L133)),FALSE))), (7-(AE$24-$I133))/6, AND(AE$24-$I133 &gt;=7,NOT(_xlfn.IFNA(ISNUMBER(SEARCH("Rending",$L133)),FALSE))), 0, AE$24-$I133 =7, (7-(AE$24-1-$I133))/6, AE$24-$I133 =8, (7-(AE$24-2-$I133))/6*2/3, AE$24-$I133 =9, (7-(AE$24-3-$I133))/6*1/3, TRUE, 0)) *
IF(ISNUMBER(SEARCH("Ordinance",$L133)),7/6,1) *
IF(OR(ISNUMBER(SEARCH("Melee",$L133)),ISNUMBER(SEARCH("Bypass",$L133))),1.5,1)</f>
        <v>0</v>
      </c>
      <c r="AF133" s="17" cm="1">
        <f t="array" ref="AF133">$H133 *
IF(ISNUMBER(SEARCH("Rapid",$L133)),7/6,1) *
IF(OR(ISNUMBER(SEARCH("Beam",$L133)),ISNUMBER(SEARCH("Firestorm",$L133))),1, IF(ISNUMBER(SEARCH("Blast",$L133)),(4+$F133+(2-$F133)*0.5)/6*2,(4+$F133)/6)) *
IF(ISNUMBER(SEARCH("Fusion",$L133)), _xlfn.IFS(AF$24-$I133 &lt;=1, 9/10, AF$24-$I133 &lt;=10,(11-(AF$24-$I133))/10, AF$24-$I133 &gt;=11, 0),
_xlfn.IFS(AF$24-$I133 &lt;=1, 5/6, AF$24-$I133 &lt;=5, (7-(AF$24-$I133))/6, AND(AF$24-$I133 =6,NOT(_xlfn.IFNA(ISNUMBER(SEARCH("Rending",$L133)),FALSE))), (7-(AF$24-$I133))/6, AND(AF$24-$I133 &gt;=7,NOT(_xlfn.IFNA(ISNUMBER(SEARCH("Rending",$L133)),FALSE))), 0, AF$24-$I133 =7, (7-(AF$24-1-$I133))/6, AF$24-$I133 =8, (7-(AF$24-2-$I133))/6*2/3, AF$24-$I133 =9, (7-(AF$24-3-$I133))/6*1/3, TRUE, 0)) *
IF(ISNUMBER(SEARCH("Ordinance",$L133)),7/6,1) *
IF(OR(ISNUMBER(SEARCH("Melee",$L133)),ISNUMBER(SEARCH("Bypass",$L133))),1.5,1)</f>
        <v>0</v>
      </c>
      <c r="AG133" s="16">
        <f t="shared" si="35"/>
        <v>1</v>
      </c>
      <c r="AH133" s="16">
        <f t="shared" si="36"/>
        <v>1.5</v>
      </c>
      <c r="AI133" s="17" cm="1">
        <f t="array" ref="AI133">$H133 *
IF(ISNUMBER(SEARCH("Rapid",$L133)),7/6,1) *
IF(OR(ISNUMBER(SEARCH("Beam",$L133)),ISNUMBER(SEARCH("Firestorm",$L133))),1, IF(ISNUMBER(SEARCH("Blast",$L133)),(4+$G133+(2-$G133)*0.5)/6*2,(4+$G133)/6)) *
_xlfn.IFS(AI$24-$I133 &lt;=1, 5/6, AI$24-$I133 &lt;=5, (7-(AI$24-$I133))/6, AND(AI$24-$I133 =6,NOT(_xlfn.IFNA(ISNUMBER(SEARCH("Rending",$L133)),FALSE))), (7-(AI$24-$I133))/6, AND(AI$24-$I133 &gt;=7,NOT(_xlfn.IFNA(ISNUMBER(SEARCH("Rending",$L133)),FALSE))), 0, AI$24-$I133 =7, (7-(AI$24-1-$I133))/6, AI$24-$I133 =8, (7-(AI$24-2-$I133))/6*2/3, AI$24-$I133 =9, (7-(AI$24-3-$I133))/6*1/3, TRUE, 0) *
IF(ISNUMBER(SEARCH("Ordinance",$L133)),7/6,1) *
IF(OR(ISNUMBER(SEARCH("Melee",$L133)),ISNUMBER(SEARCH("Bypass",$L133))),1.5,1)</f>
        <v>2.5</v>
      </c>
      <c r="AJ133" s="17" cm="1">
        <f t="array" ref="AJ133">$H133 *
IF(ISNUMBER(SEARCH("Rapid",$L133)),7/6,1) *
IF(OR(ISNUMBER(SEARCH("Beam",$L133)),ISNUMBER(SEARCH("Firestorm",$L133))),1, IF(ISNUMBER(SEARCH("Blast",$L133)),(4+$G133+(2-$G133)*0.5)/6*2,(4+$G133)/6)) *
_xlfn.IFS(AJ$24-$I133 &lt;=1, 5/6, AJ$24-$I133 &lt;=5, (7-(AJ$24-$I133))/6, AND(AJ$24-$I133 =6,NOT(_xlfn.IFNA(ISNUMBER(SEARCH("Rending",$L133)),FALSE))), (7-(AJ$24-$I133))/6, AND(AJ$24-$I133 &gt;=7,NOT(_xlfn.IFNA(ISNUMBER(SEARCH("Rending",$L133)),FALSE))), 0, AJ$24-$I133 =7, (7-(AJ$24-1-$I133))/6, AJ$24-$I133 =8, (7-(AJ$24-2-$I133))/6*2/3, AJ$24-$I133 =9, (7-(AJ$24-3-$I133))/6*1/3, TRUE, 0) *
IF(ISNUMBER(SEARCH("Ordinance",$L133)),7/6,1) *
IF(OR(ISNUMBER(SEARCH("Melee",$L133)),ISNUMBER(SEARCH("Bypass",$L133))),1.5,1)</f>
        <v>2.5</v>
      </c>
      <c r="AK133" s="17" cm="1">
        <f t="array" ref="AK133">$H133 *
IF(ISNUMBER(SEARCH("Rapid",$L133)),7/6,1) *
IF(OR(ISNUMBER(SEARCH("Beam",$L133)),ISNUMBER(SEARCH("Firestorm",$L133))),1, IF(ISNUMBER(SEARCH("Blast",$L133)),(4+$G133+(2-$G133)*0.5)/6*2,(4+$G133)/6)) *
_xlfn.IFS(AK$24-$I133 &lt;=1, 5/6, AK$24-$I133 &lt;=5, (7-(AK$24-$I133))/6, AND(AK$24-$I133 =6,NOT(_xlfn.IFNA(ISNUMBER(SEARCH("Rending",$L133)),FALSE))), (7-(AK$24-$I133))/6, AND(AK$24-$I133 &gt;=7,NOT(_xlfn.IFNA(ISNUMBER(SEARCH("Rending",$L133)),FALSE))), 0, AK$24-$I133 =7, (7-(AK$24-1-$I133))/6, AK$24-$I133 =8, (7-(AK$24-2-$I133))/6*2/3, AK$24-$I133 =9, (7-(AK$24-3-$I133))/6*1/3, TRUE, 0) *
IF(ISNUMBER(SEARCH("Ordinance",$L133)),7/6,1) *
IF(OR(ISNUMBER(SEARCH("Melee",$L133)),ISNUMBER(SEARCH("Bypass",$L133))),1.5,1)</f>
        <v>2</v>
      </c>
      <c r="AL133" s="17" cm="1">
        <f t="array" ref="AL133">$H133 *
IF(ISNUMBER(SEARCH("Rapid",$L133)),7/6,1) *
IF(OR(ISNUMBER(SEARCH("Beam",$L133)),ISNUMBER(SEARCH("Firestorm",$L133))),1, IF(ISNUMBER(SEARCH("Blast",$L133)),(4+$G133+(2-$G133)*0.5)/6*2,(4+$G133)/6)) *
_xlfn.IFS(AL$24-$I133 &lt;=1, 5/6, AL$24-$I133 &lt;=5, (7-(AL$24-$I133))/6, AND(AL$24-$I133 =6,NOT(_xlfn.IFNA(ISNUMBER(SEARCH("Rending",$L133)),FALSE))), (7-(AL$24-$I133))/6, AND(AL$24-$I133 &gt;=7,NOT(_xlfn.IFNA(ISNUMBER(SEARCH("Rending",$L133)),FALSE))), 0, AL$24-$I133 =7, (7-(AL$24-1-$I133))/6, AL$24-$I133 =8, (7-(AL$24-2-$I133))/6*2/3, AL$24-$I133 =9, (7-(AL$24-3-$I133))/6*1/3, TRUE, 0) *
IF(ISNUMBER(SEARCH("Ordinance",$L133)),7/6,1) *
IF(OR(ISNUMBER(SEARCH("Melee",$L133)),ISNUMBER(SEARCH("Bypass",$L133))),1.5,1)</f>
        <v>1.5</v>
      </c>
      <c r="AM133" s="17" cm="1">
        <f t="array" ref="AM133">$H133 *
IF(ISNUMBER(SEARCH("Rapid",$L133)),7/6,1) *
IF(OR(ISNUMBER(SEARCH("Beam",$L133)),ISNUMBER(SEARCH("Firestorm",$L133))),1, IF(ISNUMBER(SEARCH("Blast",$L133)),(4+$G133+(2-$G133)*0.5)/6*2,(4+$G133)/6)) *
_xlfn.IFS(AM$24-$I133 &lt;=1, 5/6, AM$24-$I133 &lt;=5, (7-(AM$24-$I133))/6, AND(AM$24-$I133 =6,NOT(_xlfn.IFNA(ISNUMBER(SEARCH("Rending",$L133)),FALSE))), (7-(AM$24-$I133))/6, AND(AM$24-$I133 &gt;=7,NOT(_xlfn.IFNA(ISNUMBER(SEARCH("Rending",$L133)),FALSE))), 0, AM$24-$I133 =7, (7-(AM$24-1-$I133))/6, AM$24-$I133 =8, (7-(AM$24-2-$I133))/6*2/3, AM$24-$I133 =9, (7-(AM$24-3-$I133))/6*1/3, TRUE, 0) *
IF(ISNUMBER(SEARCH("Ordinance",$L133)),7/6,1) *
IF(OR(ISNUMBER(SEARCH("Melee",$L133)),ISNUMBER(SEARCH("Bypass",$L133))),1.5,1)</f>
        <v>1</v>
      </c>
      <c r="AN133" s="17" cm="1">
        <f t="array" ref="AN133">$H133 *
IF(ISNUMBER(SEARCH("Rapid",$L133)),7/6,1) *
IF(OR(ISNUMBER(SEARCH("Beam",$L133)),ISNUMBER(SEARCH("Firestorm",$L133))),1, IF(ISNUMBER(SEARCH("Blast",$L133)),(4+$G133+(2-$G133)*0.5)/6*2,(4+$G133)/6)) *
_xlfn.IFS(AN$24-$I133 &lt;=1, 5/6, AN$24-$I133 &lt;=5, (7-(AN$24-$I133))/6, AND(AN$24-$I133 =6,NOT(_xlfn.IFNA(ISNUMBER(SEARCH("Rending",$L133)),FALSE))), (7-(AN$24-$I133))/6, AND(AN$24-$I133 &gt;=7,NOT(_xlfn.IFNA(ISNUMBER(SEARCH("Rending",$L133)),FALSE))), 0, AN$24-$I133 =7, (7-(AN$24-1-$I133))/6, AN$24-$I133 =8, (7-(AN$24-2-$I133))/6*2/3, AN$24-$I133 =9, (7-(AN$24-3-$I133))/6*1/3, TRUE, 0) *
IF(ISNUMBER(SEARCH("Ordinance",$L133)),7/6,1) *
IF(OR(ISNUMBER(SEARCH("Melee",$L133)),ISNUMBER(SEARCH("Bypass",$L133))),1.5,1)</f>
        <v>0.5</v>
      </c>
      <c r="AO133" s="17" cm="1">
        <f t="array" ref="AO133">$H133 *
IF(ISNUMBER(SEARCH("Rapid",$L133)),7/6,1) *
IF(OR(ISNUMBER(SEARCH("Beam",$L133)),ISNUMBER(SEARCH("Firestorm",$L133))),1, IF(ISNUMBER(SEARCH("Blast",$L133)),(4+$G133+(2-$G133)*0.5)/6*2,(4+$G133)/6)) *
_xlfn.IFS(AO$24-$I133 &lt;=1, 5/6, AO$24-$I133 &lt;=5, (7-(AO$24-$I133))/6, AND(AO$24-$I133 =6,NOT(_xlfn.IFNA(ISNUMBER(SEARCH("Rending",$L133)),FALSE))), (7-(AO$24-$I133))/6, AND(AO$24-$I133 &gt;=7,NOT(_xlfn.IFNA(ISNUMBER(SEARCH("Rending",$L133)),FALSE))), 0, AO$24-$I133 =7, (7-(AO$24-1-$I133))/6, AO$24-$I133 =8, (7-(AO$24-2-$I133))/6*2/3, AO$24-$I133 =9, (7-(AO$24-3-$I133))/6*1/3, TRUE, 0) *
IF(ISNUMBER(SEARCH("Ordinance",$L133)),7/6,1) *
IF(OR(ISNUMBER(SEARCH("Melee",$L133)),ISNUMBER(SEARCH("Bypass",$L133))),1.5,1)</f>
        <v>0</v>
      </c>
      <c r="AP133" s="17" cm="1">
        <f t="array" ref="AP133">$H133 *
IF(ISNUMBER(SEARCH("Rapid",$L133)),7/6,1) *
IF(OR(ISNUMBER(SEARCH("Beam",$L133)),ISNUMBER(SEARCH("Firestorm",$L133))),1, IF(ISNUMBER(SEARCH("Blast",$L133)),(4+$G133+(2-$G133)*0.5)/6*2,(4+$G133)/6)) *
_xlfn.IFS(AP$24-$I133 &lt;=1, 5/6, AP$24-$I133 &lt;=5, (7-(AP$24-$I133))/6, AND(AP$24-$I133 =6,NOT(_xlfn.IFNA(ISNUMBER(SEARCH("Rending",$L133)),FALSE))), (7-(AP$24-$I133))/6, AND(AP$24-$I133 &gt;=7,NOT(_xlfn.IFNA(ISNUMBER(SEARCH("Rending",$L133)),FALSE))), 0, AP$24-$I133 =7, (7-(AP$24-1-$I133))/6, AP$24-$I133 =8, (7-(AP$24-2-$I133))/6*2/3, AP$24-$I133 =9, (7-(AP$24-3-$I133))/6*1/3, TRUE, 0) *
IF(ISNUMBER(SEARCH("Ordinance",$L133)),7/6,1) *
IF(OR(ISNUMBER(SEARCH("Melee",$L133)),ISNUMBER(SEARCH("Bypass",$L133))),1.5,1)</f>
        <v>0</v>
      </c>
      <c r="AQ133" s="17" cm="1">
        <f t="array" ref="AQ133">$H133 *
IF(ISNUMBER(SEARCH("Rapid",$L133)),7/6,1) *
IF(OR(ISNUMBER(SEARCH("Beam",$L133)),ISNUMBER(SEARCH("Firestorm",$L133))),1, IF(ISNUMBER(SEARCH("Blast",$L133)),(4+$G133+(2-$G133)*0.5)/6*2,(4+$G133)/6)) *
_xlfn.IFS(AQ$24-$I133 &lt;=1, 5/6, AQ$24-$I133 &lt;=5, (7-(AQ$24-$I133))/6, AND(AQ$24-$I133 =6,NOT(_xlfn.IFNA(ISNUMBER(SEARCH("Rending",$L133)),FALSE))), (7-(AQ$24-$I133))/6, AND(AQ$24-$I133 &gt;=7,NOT(_xlfn.IFNA(ISNUMBER(SEARCH("Rending",$L133)),FALSE))), 0, AQ$24-$I133 =7, (7-(AQ$24-1-$I133))/6, AQ$24-$I133 =8, (7-(AQ$24-2-$I133))/6*2/3, AQ$24-$I133 =9, (7-(AQ$24-3-$I133))/6*1/3, TRUE, 0) *
IF(ISNUMBER(SEARCH("Ordinance",$L133)),7/6,1) *
IF(OR(ISNUMBER(SEARCH("Melee",$L133)),ISNUMBER(SEARCH("Bypass",$L133))),1.5,1)</f>
        <v>0</v>
      </c>
      <c r="AS133" s="16">
        <f t="shared" si="30"/>
        <v>1</v>
      </c>
      <c r="AT133" s="16">
        <f t="shared" si="31"/>
        <v>1.5</v>
      </c>
      <c r="AU133" s="16">
        <f t="shared" si="32"/>
        <v>1.3564814814814816</v>
      </c>
      <c r="AV133" s="2">
        <v>10</v>
      </c>
    </row>
    <row r="134" spans="1:48" x14ac:dyDescent="0.3">
      <c r="A134" t="s">
        <v>202</v>
      </c>
      <c r="B134" s="3">
        <v>8</v>
      </c>
      <c r="C134" s="3">
        <v>24</v>
      </c>
      <c r="D134" s="3">
        <v>1</v>
      </c>
      <c r="E134" s="3">
        <v>1</v>
      </c>
      <c r="F134" s="10">
        <v>0</v>
      </c>
      <c r="G134" s="10">
        <v>-1</v>
      </c>
      <c r="H134" s="3">
        <v>2</v>
      </c>
      <c r="I134" s="3">
        <v>10</v>
      </c>
      <c r="J134" s="3" t="s">
        <v>563</v>
      </c>
      <c r="K134" s="3">
        <v>40</v>
      </c>
      <c r="L134" s="3" t="s">
        <v>203</v>
      </c>
      <c r="M134" s="3" t="s">
        <v>199</v>
      </c>
      <c r="N134" s="3">
        <v>10</v>
      </c>
      <c r="O134" s="3">
        <v>10</v>
      </c>
      <c r="P134" s="3">
        <v>14</v>
      </c>
      <c r="Q134" s="3" t="s">
        <v>200</v>
      </c>
      <c r="R134" s="3">
        <v>7</v>
      </c>
      <c r="S134" s="3">
        <v>9</v>
      </c>
      <c r="T134" s="3">
        <v>4</v>
      </c>
      <c r="V134" s="16">
        <f t="shared" si="33"/>
        <v>1.1111111111111112</v>
      </c>
      <c r="W134" s="16">
        <f t="shared" si="34"/>
        <v>1.6666666666666667</v>
      </c>
      <c r="X134" s="17" cm="1">
        <f t="array" ref="X134">$H134 *
IF(ISNUMBER(SEARCH("Rapid",$L134)),7/6,1) *
IF(OR(ISNUMBER(SEARCH("Beam",$L134)),ISNUMBER(SEARCH("Firestorm",$L134))),1, IF(ISNUMBER(SEARCH("Blast",$L134)),(4+$F134+(2-$F134)*0.5)/6*2,(4+$F134)/6)) *
IF(ISNUMBER(SEARCH("Fusion",$L134)), _xlfn.IFS(X$24-$I134 &lt;=1, 9/10, X$24-$I134 &lt;=10,(11-(X$24-$I134))/10, X$24-$I134 &gt;=11, 0),
_xlfn.IFS(X$24-$I134 &lt;=1, 5/6, X$24-$I134 &lt;=5, (7-(X$24-$I134))/6, AND(X$24-$I134 =6,NOT(_xlfn.IFNA(ISNUMBER(SEARCH("Rending",$L134)),FALSE))), (7-(X$24-$I134))/6, AND(X$24-$I134 &gt;=7,NOT(_xlfn.IFNA(ISNUMBER(SEARCH("Rending",$L134)),FALSE))), 0, X$24-$I134 =7, (7-(X$24-1-$I134))/6, X$24-$I134 =8, (7-(X$24-2-$I134))/6*2/3, X$24-$I134 =9, (7-(X$24-3-$I134))/6*1/3, TRUE, 0)) *
IF(ISNUMBER(SEARCH("Ordinance",$L134)),7/6,1) *
IF(OR(ISNUMBER(SEARCH("Melee",$L134)),ISNUMBER(SEARCH("Bypass",$L134))),1.5,1)</f>
        <v>2.7777777777777781</v>
      </c>
      <c r="Y134" s="17" cm="1">
        <f t="array" ref="Y134">$H134 *
IF(ISNUMBER(SEARCH("Rapid",$L134)),7/6,1) *
IF(OR(ISNUMBER(SEARCH("Beam",$L134)),ISNUMBER(SEARCH("Firestorm",$L134))),1, IF(ISNUMBER(SEARCH("Blast",$L134)),(4+$F134+(2-$F134)*0.5)/6*2,(4+$F134)/6)) *
IF(ISNUMBER(SEARCH("Fusion",$L134)), _xlfn.IFS(Y$24-$I134 &lt;=1, 9/10, Y$24-$I134 &lt;=10,(11-(Y$24-$I134))/10, Y$24-$I134 &gt;=11, 0),
_xlfn.IFS(Y$24-$I134 &lt;=1, 5/6, Y$24-$I134 &lt;=5, (7-(Y$24-$I134))/6, AND(Y$24-$I134 =6,NOT(_xlfn.IFNA(ISNUMBER(SEARCH("Rending",$L134)),FALSE))), (7-(Y$24-$I134))/6, AND(Y$24-$I134 &gt;=7,NOT(_xlfn.IFNA(ISNUMBER(SEARCH("Rending",$L134)),FALSE))), 0, Y$24-$I134 =7, (7-(Y$24-1-$I134))/6, Y$24-$I134 =8, (7-(Y$24-2-$I134))/6*2/3, Y$24-$I134 =9, (7-(Y$24-3-$I134))/6*1/3, TRUE, 0)) *
IF(ISNUMBER(SEARCH("Ordinance",$L134)),7/6,1) *
IF(OR(ISNUMBER(SEARCH("Melee",$L134)),ISNUMBER(SEARCH("Bypass",$L134))),1.5,1)</f>
        <v>2.7777777777777781</v>
      </c>
      <c r="Z134" s="17" cm="1">
        <f t="array" ref="Z134">$H134 *
IF(ISNUMBER(SEARCH("Rapid",$L134)),7/6,1) *
IF(OR(ISNUMBER(SEARCH("Beam",$L134)),ISNUMBER(SEARCH("Firestorm",$L134))),1, IF(ISNUMBER(SEARCH("Blast",$L134)),(4+$F134+(2-$F134)*0.5)/6*2,(4+$F134)/6)) *
IF(ISNUMBER(SEARCH("Fusion",$L134)), _xlfn.IFS(Z$24-$I134 &lt;=1, 9/10, Z$24-$I134 &lt;=10,(11-(Z$24-$I134))/10, Z$24-$I134 &gt;=11, 0),
_xlfn.IFS(Z$24-$I134 &lt;=1, 5/6, Z$24-$I134 &lt;=5, (7-(Z$24-$I134))/6, AND(Z$24-$I134 =6,NOT(_xlfn.IFNA(ISNUMBER(SEARCH("Rending",$L134)),FALSE))), (7-(Z$24-$I134))/6, AND(Z$24-$I134 &gt;=7,NOT(_xlfn.IFNA(ISNUMBER(SEARCH("Rending",$L134)),FALSE))), 0, Z$24-$I134 =7, (7-(Z$24-1-$I134))/6, Z$24-$I134 =8, (7-(Z$24-2-$I134))/6*2/3, Z$24-$I134 =9, (7-(Z$24-3-$I134))/6*1/3, TRUE, 0)) *
IF(ISNUMBER(SEARCH("Ordinance",$L134)),7/6,1) *
IF(OR(ISNUMBER(SEARCH("Melee",$L134)),ISNUMBER(SEARCH("Bypass",$L134))),1.5,1)</f>
        <v>2.7777777777777781</v>
      </c>
      <c r="AA134" s="17" cm="1">
        <f t="array" ref="AA134">$H134 *
IF(ISNUMBER(SEARCH("Rapid",$L134)),7/6,1) *
IF(OR(ISNUMBER(SEARCH("Beam",$L134)),ISNUMBER(SEARCH("Firestorm",$L134))),1, IF(ISNUMBER(SEARCH("Blast",$L134)),(4+$F134+(2-$F134)*0.5)/6*2,(4+$F134)/6)) *
IF(ISNUMBER(SEARCH("Fusion",$L134)), _xlfn.IFS(AA$24-$I134 &lt;=1, 9/10, AA$24-$I134 &lt;=10,(11-(AA$24-$I134))/10, AA$24-$I134 &gt;=11, 0),
_xlfn.IFS(AA$24-$I134 &lt;=1, 5/6, AA$24-$I134 &lt;=5, (7-(AA$24-$I134))/6, AND(AA$24-$I134 =6,NOT(_xlfn.IFNA(ISNUMBER(SEARCH("Rending",$L134)),FALSE))), (7-(AA$24-$I134))/6, AND(AA$24-$I134 &gt;=7,NOT(_xlfn.IFNA(ISNUMBER(SEARCH("Rending",$L134)),FALSE))), 0, AA$24-$I134 =7, (7-(AA$24-1-$I134))/6, AA$24-$I134 =8, (7-(AA$24-2-$I134))/6*2/3, AA$24-$I134 =9, (7-(AA$24-3-$I134))/6*1/3, TRUE, 0)) *
IF(ISNUMBER(SEARCH("Ordinance",$L134)),7/6,1) *
IF(OR(ISNUMBER(SEARCH("Melee",$L134)),ISNUMBER(SEARCH("Bypass",$L134))),1.5,1)</f>
        <v>2.7777777777777781</v>
      </c>
      <c r="AB134" s="17" cm="1">
        <f t="array" ref="AB134">$H134 *
IF(ISNUMBER(SEARCH("Rapid",$L134)),7/6,1) *
IF(OR(ISNUMBER(SEARCH("Beam",$L134)),ISNUMBER(SEARCH("Firestorm",$L134))),1, IF(ISNUMBER(SEARCH("Blast",$L134)),(4+$F134+(2-$F134)*0.5)/6*2,(4+$F134)/6)) *
IF(ISNUMBER(SEARCH("Fusion",$L134)), _xlfn.IFS(AB$24-$I134 &lt;=1, 9/10, AB$24-$I134 &lt;=10,(11-(AB$24-$I134))/10, AB$24-$I134 &gt;=11, 0),
_xlfn.IFS(AB$24-$I134 &lt;=1, 5/6, AB$24-$I134 &lt;=5, (7-(AB$24-$I134))/6, AND(AB$24-$I134 =6,NOT(_xlfn.IFNA(ISNUMBER(SEARCH("Rending",$L134)),FALSE))), (7-(AB$24-$I134))/6, AND(AB$24-$I134 &gt;=7,NOT(_xlfn.IFNA(ISNUMBER(SEARCH("Rending",$L134)),FALSE))), 0, AB$24-$I134 =7, (7-(AB$24-1-$I134))/6, AB$24-$I134 =8, (7-(AB$24-2-$I134))/6*2/3, AB$24-$I134 =9, (7-(AB$24-3-$I134))/6*1/3, TRUE, 0)) *
IF(ISNUMBER(SEARCH("Ordinance",$L134)),7/6,1) *
IF(OR(ISNUMBER(SEARCH("Melee",$L134)),ISNUMBER(SEARCH("Bypass",$L134))),1.5,1)</f>
        <v>2.2222222222222223</v>
      </c>
      <c r="AC134" s="17" cm="1">
        <f t="array" ref="AC134">$H134 *
IF(ISNUMBER(SEARCH("Rapid",$L134)),7/6,1) *
IF(OR(ISNUMBER(SEARCH("Beam",$L134)),ISNUMBER(SEARCH("Firestorm",$L134))),1, IF(ISNUMBER(SEARCH("Blast",$L134)),(4+$F134+(2-$F134)*0.5)/6*2,(4+$F134)/6)) *
IF(ISNUMBER(SEARCH("Fusion",$L134)), _xlfn.IFS(AC$24-$I134 &lt;=1, 9/10, AC$24-$I134 &lt;=10,(11-(AC$24-$I134))/10, AC$24-$I134 &gt;=11, 0),
_xlfn.IFS(AC$24-$I134 &lt;=1, 5/6, AC$24-$I134 &lt;=5, (7-(AC$24-$I134))/6, AND(AC$24-$I134 =6,NOT(_xlfn.IFNA(ISNUMBER(SEARCH("Rending",$L134)),FALSE))), (7-(AC$24-$I134))/6, AND(AC$24-$I134 &gt;=7,NOT(_xlfn.IFNA(ISNUMBER(SEARCH("Rending",$L134)),FALSE))), 0, AC$24-$I134 =7, (7-(AC$24-1-$I134))/6, AC$24-$I134 =8, (7-(AC$24-2-$I134))/6*2/3, AC$24-$I134 =9, (7-(AC$24-3-$I134))/6*1/3, TRUE, 0)) *
IF(ISNUMBER(SEARCH("Ordinance",$L134)),7/6,1) *
IF(OR(ISNUMBER(SEARCH("Melee",$L134)),ISNUMBER(SEARCH("Bypass",$L134))),1.5,1)</f>
        <v>1.6666666666666667</v>
      </c>
      <c r="AD134" s="17" cm="1">
        <f t="array" ref="AD134">$H134 *
IF(ISNUMBER(SEARCH("Rapid",$L134)),7/6,1) *
IF(OR(ISNUMBER(SEARCH("Beam",$L134)),ISNUMBER(SEARCH("Firestorm",$L134))),1, IF(ISNUMBER(SEARCH("Blast",$L134)),(4+$F134+(2-$F134)*0.5)/6*2,(4+$F134)/6)) *
IF(ISNUMBER(SEARCH("Fusion",$L134)), _xlfn.IFS(AD$24-$I134 &lt;=1, 9/10, AD$24-$I134 &lt;=10,(11-(AD$24-$I134))/10, AD$24-$I134 &gt;=11, 0),
_xlfn.IFS(AD$24-$I134 &lt;=1, 5/6, AD$24-$I134 &lt;=5, (7-(AD$24-$I134))/6, AND(AD$24-$I134 =6,NOT(_xlfn.IFNA(ISNUMBER(SEARCH("Rending",$L134)),FALSE))), (7-(AD$24-$I134))/6, AND(AD$24-$I134 &gt;=7,NOT(_xlfn.IFNA(ISNUMBER(SEARCH("Rending",$L134)),FALSE))), 0, AD$24-$I134 =7, (7-(AD$24-1-$I134))/6, AD$24-$I134 =8, (7-(AD$24-2-$I134))/6*2/3, AD$24-$I134 =9, (7-(AD$24-3-$I134))/6*1/3, TRUE, 0)) *
IF(ISNUMBER(SEARCH("Ordinance",$L134)),7/6,1) *
IF(OR(ISNUMBER(SEARCH("Melee",$L134)),ISNUMBER(SEARCH("Bypass",$L134))),1.5,1)</f>
        <v>1.1111111111111112</v>
      </c>
      <c r="AE134" s="17" cm="1">
        <f t="array" ref="AE134">$H134 *
IF(ISNUMBER(SEARCH("Rapid",$L134)),7/6,1) *
IF(OR(ISNUMBER(SEARCH("Beam",$L134)),ISNUMBER(SEARCH("Firestorm",$L134))),1, IF(ISNUMBER(SEARCH("Blast",$L134)),(4+$F134+(2-$F134)*0.5)/6*2,(4+$F134)/6)) *
IF(ISNUMBER(SEARCH("Fusion",$L134)), _xlfn.IFS(AE$24-$I134 &lt;=1, 9/10, AE$24-$I134 &lt;=10,(11-(AE$24-$I134))/10, AE$24-$I134 &gt;=11, 0),
_xlfn.IFS(AE$24-$I134 &lt;=1, 5/6, AE$24-$I134 &lt;=5, (7-(AE$24-$I134))/6, AND(AE$24-$I134 =6,NOT(_xlfn.IFNA(ISNUMBER(SEARCH("Rending",$L134)),FALSE))), (7-(AE$24-$I134))/6, AND(AE$24-$I134 &gt;=7,NOT(_xlfn.IFNA(ISNUMBER(SEARCH("Rending",$L134)),FALSE))), 0, AE$24-$I134 =7, (7-(AE$24-1-$I134))/6, AE$24-$I134 =8, (7-(AE$24-2-$I134))/6*2/3, AE$24-$I134 =9, (7-(AE$24-3-$I134))/6*1/3, TRUE, 0)) *
IF(ISNUMBER(SEARCH("Ordinance",$L134)),7/6,1) *
IF(OR(ISNUMBER(SEARCH("Melee",$L134)),ISNUMBER(SEARCH("Bypass",$L134))),1.5,1)</f>
        <v>0.55555555555555558</v>
      </c>
      <c r="AF134" s="17" cm="1">
        <f t="array" ref="AF134">$H134 *
IF(ISNUMBER(SEARCH("Rapid",$L134)),7/6,1) *
IF(OR(ISNUMBER(SEARCH("Beam",$L134)),ISNUMBER(SEARCH("Firestorm",$L134))),1, IF(ISNUMBER(SEARCH("Blast",$L134)),(4+$F134+(2-$F134)*0.5)/6*2,(4+$F134)/6)) *
IF(ISNUMBER(SEARCH("Fusion",$L134)), _xlfn.IFS(AF$24-$I134 &lt;=1, 9/10, AF$24-$I134 &lt;=10,(11-(AF$24-$I134))/10, AF$24-$I134 &gt;=11, 0),
_xlfn.IFS(AF$24-$I134 &lt;=1, 5/6, AF$24-$I134 &lt;=5, (7-(AF$24-$I134))/6, AND(AF$24-$I134 =6,NOT(_xlfn.IFNA(ISNUMBER(SEARCH("Rending",$L134)),FALSE))), (7-(AF$24-$I134))/6, AND(AF$24-$I134 &gt;=7,NOT(_xlfn.IFNA(ISNUMBER(SEARCH("Rending",$L134)),FALSE))), 0, AF$24-$I134 =7, (7-(AF$24-1-$I134))/6, AF$24-$I134 =8, (7-(AF$24-2-$I134))/6*2/3, AF$24-$I134 =9, (7-(AF$24-3-$I134))/6*1/3, TRUE, 0)) *
IF(ISNUMBER(SEARCH("Ordinance",$L134)),7/6,1) *
IF(OR(ISNUMBER(SEARCH("Melee",$L134)),ISNUMBER(SEARCH("Bypass",$L134))),1.5,1)</f>
        <v>0</v>
      </c>
      <c r="AG134" s="16">
        <f t="shared" si="35"/>
        <v>1</v>
      </c>
      <c r="AH134" s="16">
        <f t="shared" si="36"/>
        <v>1.5</v>
      </c>
      <c r="AI134" s="17" cm="1">
        <f t="array" ref="AI134">$H134 *
IF(ISNUMBER(SEARCH("Rapid",$L134)),7/6,1) *
IF(OR(ISNUMBER(SEARCH("Beam",$L134)),ISNUMBER(SEARCH("Firestorm",$L134))),1, IF(ISNUMBER(SEARCH("Blast",$L134)),(4+$G134+(2-$G134)*0.5)/6*2,(4+$G134)/6)) *
_xlfn.IFS(AI$24-$I134 &lt;=1, 5/6, AI$24-$I134 &lt;=5, (7-(AI$24-$I134))/6, AND(AI$24-$I134 =6,NOT(_xlfn.IFNA(ISNUMBER(SEARCH("Rending",$L134)),FALSE))), (7-(AI$24-$I134))/6, AND(AI$24-$I134 &gt;=7,NOT(_xlfn.IFNA(ISNUMBER(SEARCH("Rending",$L134)),FALSE))), 0, AI$24-$I134 =7, (7-(AI$24-1-$I134))/6, AI$24-$I134 =8, (7-(AI$24-2-$I134))/6*2/3, AI$24-$I134 =9, (7-(AI$24-3-$I134))/6*1/3, TRUE, 0) *
IF(ISNUMBER(SEARCH("Ordinance",$L134)),7/6,1) *
IF(OR(ISNUMBER(SEARCH("Melee",$L134)),ISNUMBER(SEARCH("Bypass",$L134))),1.5,1)</f>
        <v>2.5</v>
      </c>
      <c r="AJ134" s="17" cm="1">
        <f t="array" ref="AJ134">$H134 *
IF(ISNUMBER(SEARCH("Rapid",$L134)),7/6,1) *
IF(OR(ISNUMBER(SEARCH("Beam",$L134)),ISNUMBER(SEARCH("Firestorm",$L134))),1, IF(ISNUMBER(SEARCH("Blast",$L134)),(4+$G134+(2-$G134)*0.5)/6*2,(4+$G134)/6)) *
_xlfn.IFS(AJ$24-$I134 &lt;=1, 5/6, AJ$24-$I134 &lt;=5, (7-(AJ$24-$I134))/6, AND(AJ$24-$I134 =6,NOT(_xlfn.IFNA(ISNUMBER(SEARCH("Rending",$L134)),FALSE))), (7-(AJ$24-$I134))/6, AND(AJ$24-$I134 &gt;=7,NOT(_xlfn.IFNA(ISNUMBER(SEARCH("Rending",$L134)),FALSE))), 0, AJ$24-$I134 =7, (7-(AJ$24-1-$I134))/6, AJ$24-$I134 =8, (7-(AJ$24-2-$I134))/6*2/3, AJ$24-$I134 =9, (7-(AJ$24-3-$I134))/6*1/3, TRUE, 0) *
IF(ISNUMBER(SEARCH("Ordinance",$L134)),7/6,1) *
IF(OR(ISNUMBER(SEARCH("Melee",$L134)),ISNUMBER(SEARCH("Bypass",$L134))),1.5,1)</f>
        <v>2.5</v>
      </c>
      <c r="AK134" s="17" cm="1">
        <f t="array" ref="AK134">$H134 *
IF(ISNUMBER(SEARCH("Rapid",$L134)),7/6,1) *
IF(OR(ISNUMBER(SEARCH("Beam",$L134)),ISNUMBER(SEARCH("Firestorm",$L134))),1, IF(ISNUMBER(SEARCH("Blast",$L134)),(4+$G134+(2-$G134)*0.5)/6*2,(4+$G134)/6)) *
_xlfn.IFS(AK$24-$I134 &lt;=1, 5/6, AK$24-$I134 &lt;=5, (7-(AK$24-$I134))/6, AND(AK$24-$I134 =6,NOT(_xlfn.IFNA(ISNUMBER(SEARCH("Rending",$L134)),FALSE))), (7-(AK$24-$I134))/6, AND(AK$24-$I134 &gt;=7,NOT(_xlfn.IFNA(ISNUMBER(SEARCH("Rending",$L134)),FALSE))), 0, AK$24-$I134 =7, (7-(AK$24-1-$I134))/6, AK$24-$I134 =8, (7-(AK$24-2-$I134))/6*2/3, AK$24-$I134 =9, (7-(AK$24-3-$I134))/6*1/3, TRUE, 0) *
IF(ISNUMBER(SEARCH("Ordinance",$L134)),7/6,1) *
IF(OR(ISNUMBER(SEARCH("Melee",$L134)),ISNUMBER(SEARCH("Bypass",$L134))),1.5,1)</f>
        <v>2.5</v>
      </c>
      <c r="AL134" s="17" cm="1">
        <f t="array" ref="AL134">$H134 *
IF(ISNUMBER(SEARCH("Rapid",$L134)),7/6,1) *
IF(OR(ISNUMBER(SEARCH("Beam",$L134)),ISNUMBER(SEARCH("Firestorm",$L134))),1, IF(ISNUMBER(SEARCH("Blast",$L134)),(4+$G134+(2-$G134)*0.5)/6*2,(4+$G134)/6)) *
_xlfn.IFS(AL$24-$I134 &lt;=1, 5/6, AL$24-$I134 &lt;=5, (7-(AL$24-$I134))/6, AND(AL$24-$I134 =6,NOT(_xlfn.IFNA(ISNUMBER(SEARCH("Rending",$L134)),FALSE))), (7-(AL$24-$I134))/6, AND(AL$24-$I134 &gt;=7,NOT(_xlfn.IFNA(ISNUMBER(SEARCH("Rending",$L134)),FALSE))), 0, AL$24-$I134 =7, (7-(AL$24-1-$I134))/6, AL$24-$I134 =8, (7-(AL$24-2-$I134))/6*2/3, AL$24-$I134 =9, (7-(AL$24-3-$I134))/6*1/3, TRUE, 0) *
IF(ISNUMBER(SEARCH("Ordinance",$L134)),7/6,1) *
IF(OR(ISNUMBER(SEARCH("Melee",$L134)),ISNUMBER(SEARCH("Bypass",$L134))),1.5,1)</f>
        <v>2.5</v>
      </c>
      <c r="AM134" s="17" cm="1">
        <f t="array" ref="AM134">$H134 *
IF(ISNUMBER(SEARCH("Rapid",$L134)),7/6,1) *
IF(OR(ISNUMBER(SEARCH("Beam",$L134)),ISNUMBER(SEARCH("Firestorm",$L134))),1, IF(ISNUMBER(SEARCH("Blast",$L134)),(4+$G134+(2-$G134)*0.5)/6*2,(4+$G134)/6)) *
_xlfn.IFS(AM$24-$I134 &lt;=1, 5/6, AM$24-$I134 &lt;=5, (7-(AM$24-$I134))/6, AND(AM$24-$I134 =6,NOT(_xlfn.IFNA(ISNUMBER(SEARCH("Rending",$L134)),FALSE))), (7-(AM$24-$I134))/6, AND(AM$24-$I134 &gt;=7,NOT(_xlfn.IFNA(ISNUMBER(SEARCH("Rending",$L134)),FALSE))), 0, AM$24-$I134 =7, (7-(AM$24-1-$I134))/6, AM$24-$I134 =8, (7-(AM$24-2-$I134))/6*2/3, AM$24-$I134 =9, (7-(AM$24-3-$I134))/6*1/3, TRUE, 0) *
IF(ISNUMBER(SEARCH("Ordinance",$L134)),7/6,1) *
IF(OR(ISNUMBER(SEARCH("Melee",$L134)),ISNUMBER(SEARCH("Bypass",$L134))),1.5,1)</f>
        <v>2</v>
      </c>
      <c r="AN134" s="17" cm="1">
        <f t="array" ref="AN134">$H134 *
IF(ISNUMBER(SEARCH("Rapid",$L134)),7/6,1) *
IF(OR(ISNUMBER(SEARCH("Beam",$L134)),ISNUMBER(SEARCH("Firestorm",$L134))),1, IF(ISNUMBER(SEARCH("Blast",$L134)),(4+$G134+(2-$G134)*0.5)/6*2,(4+$G134)/6)) *
_xlfn.IFS(AN$24-$I134 &lt;=1, 5/6, AN$24-$I134 &lt;=5, (7-(AN$24-$I134))/6, AND(AN$24-$I134 =6,NOT(_xlfn.IFNA(ISNUMBER(SEARCH("Rending",$L134)),FALSE))), (7-(AN$24-$I134))/6, AND(AN$24-$I134 &gt;=7,NOT(_xlfn.IFNA(ISNUMBER(SEARCH("Rending",$L134)),FALSE))), 0, AN$24-$I134 =7, (7-(AN$24-1-$I134))/6, AN$24-$I134 =8, (7-(AN$24-2-$I134))/6*2/3, AN$24-$I134 =9, (7-(AN$24-3-$I134))/6*1/3, TRUE, 0) *
IF(ISNUMBER(SEARCH("Ordinance",$L134)),7/6,1) *
IF(OR(ISNUMBER(SEARCH("Melee",$L134)),ISNUMBER(SEARCH("Bypass",$L134))),1.5,1)</f>
        <v>1.5</v>
      </c>
      <c r="AO134" s="17" cm="1">
        <f t="array" ref="AO134">$H134 *
IF(ISNUMBER(SEARCH("Rapid",$L134)),7/6,1) *
IF(OR(ISNUMBER(SEARCH("Beam",$L134)),ISNUMBER(SEARCH("Firestorm",$L134))),1, IF(ISNUMBER(SEARCH("Blast",$L134)),(4+$G134+(2-$G134)*0.5)/6*2,(4+$G134)/6)) *
_xlfn.IFS(AO$24-$I134 &lt;=1, 5/6, AO$24-$I134 &lt;=5, (7-(AO$24-$I134))/6, AND(AO$24-$I134 =6,NOT(_xlfn.IFNA(ISNUMBER(SEARCH("Rending",$L134)),FALSE))), (7-(AO$24-$I134))/6, AND(AO$24-$I134 &gt;=7,NOT(_xlfn.IFNA(ISNUMBER(SEARCH("Rending",$L134)),FALSE))), 0, AO$24-$I134 =7, (7-(AO$24-1-$I134))/6, AO$24-$I134 =8, (7-(AO$24-2-$I134))/6*2/3, AO$24-$I134 =9, (7-(AO$24-3-$I134))/6*1/3, TRUE, 0) *
IF(ISNUMBER(SEARCH("Ordinance",$L134)),7/6,1) *
IF(OR(ISNUMBER(SEARCH("Melee",$L134)),ISNUMBER(SEARCH("Bypass",$L134))),1.5,1)</f>
        <v>1</v>
      </c>
      <c r="AP134" s="17" cm="1">
        <f t="array" ref="AP134">$H134 *
IF(ISNUMBER(SEARCH("Rapid",$L134)),7/6,1) *
IF(OR(ISNUMBER(SEARCH("Beam",$L134)),ISNUMBER(SEARCH("Firestorm",$L134))),1, IF(ISNUMBER(SEARCH("Blast",$L134)),(4+$G134+(2-$G134)*0.5)/6*2,(4+$G134)/6)) *
_xlfn.IFS(AP$24-$I134 &lt;=1, 5/6, AP$24-$I134 &lt;=5, (7-(AP$24-$I134))/6, AND(AP$24-$I134 =6,NOT(_xlfn.IFNA(ISNUMBER(SEARCH("Rending",$L134)),FALSE))), (7-(AP$24-$I134))/6, AND(AP$24-$I134 &gt;=7,NOT(_xlfn.IFNA(ISNUMBER(SEARCH("Rending",$L134)),FALSE))), 0, AP$24-$I134 =7, (7-(AP$24-1-$I134))/6, AP$24-$I134 =8, (7-(AP$24-2-$I134))/6*2/3, AP$24-$I134 =9, (7-(AP$24-3-$I134))/6*1/3, TRUE, 0) *
IF(ISNUMBER(SEARCH("Ordinance",$L134)),7/6,1) *
IF(OR(ISNUMBER(SEARCH("Melee",$L134)),ISNUMBER(SEARCH("Bypass",$L134))),1.5,1)</f>
        <v>0.5</v>
      </c>
      <c r="AQ134" s="17" cm="1">
        <f t="array" ref="AQ134">$H134 *
IF(ISNUMBER(SEARCH("Rapid",$L134)),7/6,1) *
IF(OR(ISNUMBER(SEARCH("Beam",$L134)),ISNUMBER(SEARCH("Firestorm",$L134))),1, IF(ISNUMBER(SEARCH("Blast",$L134)),(4+$G134+(2-$G134)*0.5)/6*2,(4+$G134)/6)) *
_xlfn.IFS(AQ$24-$I134 &lt;=1, 5/6, AQ$24-$I134 &lt;=5, (7-(AQ$24-$I134))/6, AND(AQ$24-$I134 =6,NOT(_xlfn.IFNA(ISNUMBER(SEARCH("Rending",$L134)),FALSE))), (7-(AQ$24-$I134))/6, AND(AQ$24-$I134 &gt;=7,NOT(_xlfn.IFNA(ISNUMBER(SEARCH("Rending",$L134)),FALSE))), 0, AQ$24-$I134 =7, (7-(AQ$24-1-$I134))/6, AQ$24-$I134 =8, (7-(AQ$24-2-$I134))/6*2/3, AQ$24-$I134 =9, (7-(AQ$24-3-$I134))/6*1/3, TRUE, 0) *
IF(ISNUMBER(SEARCH("Ordinance",$L134)),7/6,1) *
IF(OR(ISNUMBER(SEARCH("Melee",$L134)),ISNUMBER(SEARCH("Bypass",$L134))),1.5,1)</f>
        <v>0</v>
      </c>
      <c r="AS134" s="16">
        <f t="shared" si="30"/>
        <v>1</v>
      </c>
      <c r="AT134" s="16">
        <f t="shared" si="31"/>
        <v>1.5</v>
      </c>
      <c r="AU134" s="16">
        <f t="shared" si="32"/>
        <v>1.3564814814814816</v>
      </c>
      <c r="AV134" s="2">
        <v>12</v>
      </c>
    </row>
    <row r="135" spans="1:48" x14ac:dyDescent="0.3">
      <c r="A135" t="s">
        <v>591</v>
      </c>
      <c r="B135" s="3">
        <v>16</v>
      </c>
      <c r="C135" s="3">
        <v>48</v>
      </c>
      <c r="D135" s="3">
        <v>1</v>
      </c>
      <c r="E135" s="3">
        <v>2</v>
      </c>
      <c r="F135" s="10"/>
      <c r="G135" s="10"/>
      <c r="H135" s="3">
        <v>7</v>
      </c>
      <c r="I135" s="3">
        <v>8</v>
      </c>
      <c r="J135" s="3" t="s">
        <v>592</v>
      </c>
      <c r="K135" s="3">
        <v>110</v>
      </c>
      <c r="L135" s="3" t="s">
        <v>593</v>
      </c>
      <c r="M135" s="3" t="s">
        <v>199</v>
      </c>
      <c r="N135" s="3">
        <v>10</v>
      </c>
      <c r="O135" s="3">
        <v>10</v>
      </c>
      <c r="P135" s="3">
        <v>14</v>
      </c>
      <c r="Q135" s="3" t="s">
        <v>200</v>
      </c>
      <c r="R135" s="3">
        <v>7</v>
      </c>
      <c r="S135" s="3">
        <v>9</v>
      </c>
      <c r="T135" s="3">
        <v>4</v>
      </c>
      <c r="V135" s="16">
        <f t="shared" si="33"/>
        <v>2.333333333333333</v>
      </c>
      <c r="W135" s="16">
        <f t="shared" si="34"/>
        <v>3.1111111111111107</v>
      </c>
      <c r="X135" s="17" cm="1">
        <f t="array" ref="X135">$H135 *
IF(ISNUMBER(SEARCH("Rapid",$L135)),7/6,1) *
IF(OR(ISNUMBER(SEARCH("Beam",$L135)),ISNUMBER(SEARCH("Firestorm",$L135))),1, IF(ISNUMBER(SEARCH("Blast",$L135)),(4+$F135+(2-$F135)*0.5)/6*2,(4+$F135)/6)) *
IF(ISNUMBER(SEARCH("Fusion",$L135)), _xlfn.IFS(X$24-$I135 &lt;=1, 9/10, X$24-$I135 &lt;=10,(11-(X$24-$I135))/10, X$24-$I135 &gt;=11, 0),
_xlfn.IFS(X$24-$I135 &lt;=1, 5/6, X$24-$I135 &lt;=5, (7-(X$24-$I135))/6, AND(X$24-$I135 =6,NOT(_xlfn.IFNA(ISNUMBER(SEARCH("Rending",$L135)),FALSE))), (7-(X$24-$I135))/6, AND(X$24-$I135 &gt;=7,NOT(_xlfn.IFNA(ISNUMBER(SEARCH("Rending",$L135)),FALSE))), 0, X$24-$I135 =7, (7-(X$24-1-$I135))/6, X$24-$I135 =8, (7-(X$24-2-$I135))/6*2/3, X$24-$I135 =9, (7-(X$24-3-$I135))/6*1/3, TRUE, 0)) *
IF(ISNUMBER(SEARCH("Ordinance",$L135)),7/6,1) *
IF(OR(ISNUMBER(SEARCH("Melee",$L135)),ISNUMBER(SEARCH("Bypass",$L135))),1.5,1)</f>
        <v>3.8888888888888884</v>
      </c>
      <c r="Y135" s="17" cm="1">
        <f t="array" ref="Y135">$H135 *
IF(ISNUMBER(SEARCH("Rapid",$L135)),7/6,1) *
IF(OR(ISNUMBER(SEARCH("Beam",$L135)),ISNUMBER(SEARCH("Firestorm",$L135))),1, IF(ISNUMBER(SEARCH("Blast",$L135)),(4+$F135+(2-$F135)*0.5)/6*2,(4+$F135)/6)) *
IF(ISNUMBER(SEARCH("Fusion",$L135)), _xlfn.IFS(Y$24-$I135 &lt;=1, 9/10, Y$24-$I135 &lt;=10,(11-(Y$24-$I135))/10, Y$24-$I135 &gt;=11, 0),
_xlfn.IFS(Y$24-$I135 &lt;=1, 5/6, Y$24-$I135 &lt;=5, (7-(Y$24-$I135))/6, AND(Y$24-$I135 =6,NOT(_xlfn.IFNA(ISNUMBER(SEARCH("Rending",$L135)),FALSE))), (7-(Y$24-$I135))/6, AND(Y$24-$I135 &gt;=7,NOT(_xlfn.IFNA(ISNUMBER(SEARCH("Rending",$L135)),FALSE))), 0, Y$24-$I135 =7, (7-(Y$24-1-$I135))/6, Y$24-$I135 =8, (7-(Y$24-2-$I135))/6*2/3, Y$24-$I135 =9, (7-(Y$24-3-$I135))/6*1/3, TRUE, 0)) *
IF(ISNUMBER(SEARCH("Ordinance",$L135)),7/6,1) *
IF(OR(ISNUMBER(SEARCH("Melee",$L135)),ISNUMBER(SEARCH("Bypass",$L135))),1.5,1)</f>
        <v>3.8888888888888884</v>
      </c>
      <c r="Z135" s="17" cm="1">
        <f t="array" ref="Z135">$H135 *
IF(ISNUMBER(SEARCH("Rapid",$L135)),7/6,1) *
IF(OR(ISNUMBER(SEARCH("Beam",$L135)),ISNUMBER(SEARCH("Firestorm",$L135))),1, IF(ISNUMBER(SEARCH("Blast",$L135)),(4+$F135+(2-$F135)*0.5)/6*2,(4+$F135)/6)) *
IF(ISNUMBER(SEARCH("Fusion",$L135)), _xlfn.IFS(Z$24-$I135 &lt;=1, 9/10, Z$24-$I135 &lt;=10,(11-(Z$24-$I135))/10, Z$24-$I135 &gt;=11, 0),
_xlfn.IFS(Z$24-$I135 &lt;=1, 5/6, Z$24-$I135 &lt;=5, (7-(Z$24-$I135))/6, AND(Z$24-$I135 =6,NOT(_xlfn.IFNA(ISNUMBER(SEARCH("Rending",$L135)),FALSE))), (7-(Z$24-$I135))/6, AND(Z$24-$I135 &gt;=7,NOT(_xlfn.IFNA(ISNUMBER(SEARCH("Rending",$L135)),FALSE))), 0, Z$24-$I135 =7, (7-(Z$24-1-$I135))/6, Z$24-$I135 =8, (7-(Z$24-2-$I135))/6*2/3, Z$24-$I135 =9, (7-(Z$24-3-$I135))/6*1/3, TRUE, 0)) *
IF(ISNUMBER(SEARCH("Ordinance",$L135)),7/6,1) *
IF(OR(ISNUMBER(SEARCH("Melee",$L135)),ISNUMBER(SEARCH("Bypass",$L135))),1.5,1)</f>
        <v>3.1111111111111107</v>
      </c>
      <c r="AA135" s="17" cm="1">
        <f t="array" ref="AA135">$H135 *
IF(ISNUMBER(SEARCH("Rapid",$L135)),7/6,1) *
IF(OR(ISNUMBER(SEARCH("Beam",$L135)),ISNUMBER(SEARCH("Firestorm",$L135))),1, IF(ISNUMBER(SEARCH("Blast",$L135)),(4+$F135+(2-$F135)*0.5)/6*2,(4+$F135)/6)) *
IF(ISNUMBER(SEARCH("Fusion",$L135)), _xlfn.IFS(AA$24-$I135 &lt;=1, 9/10, AA$24-$I135 &lt;=10,(11-(AA$24-$I135))/10, AA$24-$I135 &gt;=11, 0),
_xlfn.IFS(AA$24-$I135 &lt;=1, 5/6, AA$24-$I135 &lt;=5, (7-(AA$24-$I135))/6, AND(AA$24-$I135 =6,NOT(_xlfn.IFNA(ISNUMBER(SEARCH("Rending",$L135)),FALSE))), (7-(AA$24-$I135))/6, AND(AA$24-$I135 &gt;=7,NOT(_xlfn.IFNA(ISNUMBER(SEARCH("Rending",$L135)),FALSE))), 0, AA$24-$I135 =7, (7-(AA$24-1-$I135))/6, AA$24-$I135 =8, (7-(AA$24-2-$I135))/6*2/3, AA$24-$I135 =9, (7-(AA$24-3-$I135))/6*1/3, TRUE, 0)) *
IF(ISNUMBER(SEARCH("Ordinance",$L135)),7/6,1) *
IF(OR(ISNUMBER(SEARCH("Melee",$L135)),ISNUMBER(SEARCH("Bypass",$L135))),1.5,1)</f>
        <v>2.333333333333333</v>
      </c>
      <c r="AB135" s="17" cm="1">
        <f t="array" ref="AB135">$H135 *
IF(ISNUMBER(SEARCH("Rapid",$L135)),7/6,1) *
IF(OR(ISNUMBER(SEARCH("Beam",$L135)),ISNUMBER(SEARCH("Firestorm",$L135))),1, IF(ISNUMBER(SEARCH("Blast",$L135)),(4+$F135+(2-$F135)*0.5)/6*2,(4+$F135)/6)) *
IF(ISNUMBER(SEARCH("Fusion",$L135)), _xlfn.IFS(AB$24-$I135 &lt;=1, 9/10, AB$24-$I135 &lt;=10,(11-(AB$24-$I135))/10, AB$24-$I135 &gt;=11, 0),
_xlfn.IFS(AB$24-$I135 &lt;=1, 5/6, AB$24-$I135 &lt;=5, (7-(AB$24-$I135))/6, AND(AB$24-$I135 =6,NOT(_xlfn.IFNA(ISNUMBER(SEARCH("Rending",$L135)),FALSE))), (7-(AB$24-$I135))/6, AND(AB$24-$I135 &gt;=7,NOT(_xlfn.IFNA(ISNUMBER(SEARCH("Rending",$L135)),FALSE))), 0, AB$24-$I135 =7, (7-(AB$24-1-$I135))/6, AB$24-$I135 =8, (7-(AB$24-2-$I135))/6*2/3, AB$24-$I135 =9, (7-(AB$24-3-$I135))/6*1/3, TRUE, 0)) *
IF(ISNUMBER(SEARCH("Ordinance",$L135)),7/6,1) *
IF(OR(ISNUMBER(SEARCH("Melee",$L135)),ISNUMBER(SEARCH("Bypass",$L135))),1.5,1)</f>
        <v>1.5555555555555554</v>
      </c>
      <c r="AC135" s="17" cm="1">
        <f t="array" ref="AC135">$H135 *
IF(ISNUMBER(SEARCH("Rapid",$L135)),7/6,1) *
IF(OR(ISNUMBER(SEARCH("Beam",$L135)),ISNUMBER(SEARCH("Firestorm",$L135))),1, IF(ISNUMBER(SEARCH("Blast",$L135)),(4+$F135+(2-$F135)*0.5)/6*2,(4+$F135)/6)) *
IF(ISNUMBER(SEARCH("Fusion",$L135)), _xlfn.IFS(AC$24-$I135 &lt;=1, 9/10, AC$24-$I135 &lt;=10,(11-(AC$24-$I135))/10, AC$24-$I135 &gt;=11, 0),
_xlfn.IFS(AC$24-$I135 &lt;=1, 5/6, AC$24-$I135 &lt;=5, (7-(AC$24-$I135))/6, AND(AC$24-$I135 =6,NOT(_xlfn.IFNA(ISNUMBER(SEARCH("Rending",$L135)),FALSE))), (7-(AC$24-$I135))/6, AND(AC$24-$I135 &gt;=7,NOT(_xlfn.IFNA(ISNUMBER(SEARCH("Rending",$L135)),FALSE))), 0, AC$24-$I135 =7, (7-(AC$24-1-$I135))/6, AC$24-$I135 =8, (7-(AC$24-2-$I135))/6*2/3, AC$24-$I135 =9, (7-(AC$24-3-$I135))/6*1/3, TRUE, 0)) *
IF(ISNUMBER(SEARCH("Ordinance",$L135)),7/6,1) *
IF(OR(ISNUMBER(SEARCH("Melee",$L135)),ISNUMBER(SEARCH("Bypass",$L135))),1.5,1)</f>
        <v>0.77777777777777768</v>
      </c>
      <c r="AD135" s="17" cm="1">
        <f t="array" ref="AD135">$H135 *
IF(ISNUMBER(SEARCH("Rapid",$L135)),7/6,1) *
IF(OR(ISNUMBER(SEARCH("Beam",$L135)),ISNUMBER(SEARCH("Firestorm",$L135))),1, IF(ISNUMBER(SEARCH("Blast",$L135)),(4+$F135+(2-$F135)*0.5)/6*2,(4+$F135)/6)) *
IF(ISNUMBER(SEARCH("Fusion",$L135)), _xlfn.IFS(AD$24-$I135 &lt;=1, 9/10, AD$24-$I135 &lt;=10,(11-(AD$24-$I135))/10, AD$24-$I135 &gt;=11, 0),
_xlfn.IFS(AD$24-$I135 &lt;=1, 5/6, AD$24-$I135 &lt;=5, (7-(AD$24-$I135))/6, AND(AD$24-$I135 =6,NOT(_xlfn.IFNA(ISNUMBER(SEARCH("Rending",$L135)),FALSE))), (7-(AD$24-$I135))/6, AND(AD$24-$I135 &gt;=7,NOT(_xlfn.IFNA(ISNUMBER(SEARCH("Rending",$L135)),FALSE))), 0, AD$24-$I135 =7, (7-(AD$24-1-$I135))/6, AD$24-$I135 =8, (7-(AD$24-2-$I135))/6*2/3, AD$24-$I135 =9, (7-(AD$24-3-$I135))/6*1/3, TRUE, 0)) *
IF(ISNUMBER(SEARCH("Ordinance",$L135)),7/6,1) *
IF(OR(ISNUMBER(SEARCH("Melee",$L135)),ISNUMBER(SEARCH("Bypass",$L135))),1.5,1)</f>
        <v>0</v>
      </c>
      <c r="AE135" s="17" cm="1">
        <f t="array" ref="AE135">$H135 *
IF(ISNUMBER(SEARCH("Rapid",$L135)),7/6,1) *
IF(OR(ISNUMBER(SEARCH("Beam",$L135)),ISNUMBER(SEARCH("Firestorm",$L135))),1, IF(ISNUMBER(SEARCH("Blast",$L135)),(4+$F135+(2-$F135)*0.5)/6*2,(4+$F135)/6)) *
IF(ISNUMBER(SEARCH("Fusion",$L135)), _xlfn.IFS(AE$24-$I135 &lt;=1, 9/10, AE$24-$I135 &lt;=10,(11-(AE$24-$I135))/10, AE$24-$I135 &gt;=11, 0),
_xlfn.IFS(AE$24-$I135 &lt;=1, 5/6, AE$24-$I135 &lt;=5, (7-(AE$24-$I135))/6, AND(AE$24-$I135 =6,NOT(_xlfn.IFNA(ISNUMBER(SEARCH("Rending",$L135)),FALSE))), (7-(AE$24-$I135))/6, AND(AE$24-$I135 &gt;=7,NOT(_xlfn.IFNA(ISNUMBER(SEARCH("Rending",$L135)),FALSE))), 0, AE$24-$I135 =7, (7-(AE$24-1-$I135))/6, AE$24-$I135 =8, (7-(AE$24-2-$I135))/6*2/3, AE$24-$I135 =9, (7-(AE$24-3-$I135))/6*1/3, TRUE, 0)) *
IF(ISNUMBER(SEARCH("Ordinance",$L135)),7/6,1) *
IF(OR(ISNUMBER(SEARCH("Melee",$L135)),ISNUMBER(SEARCH("Bypass",$L135))),1.5,1)</f>
        <v>0</v>
      </c>
      <c r="AF135" s="17" cm="1">
        <f t="array" ref="AF135">$H135 *
IF(ISNUMBER(SEARCH("Rapid",$L135)),7/6,1) *
IF(OR(ISNUMBER(SEARCH("Beam",$L135)),ISNUMBER(SEARCH("Firestorm",$L135))),1, IF(ISNUMBER(SEARCH("Blast",$L135)),(4+$F135+(2-$F135)*0.5)/6*2,(4+$F135)/6)) *
IF(ISNUMBER(SEARCH("Fusion",$L135)), _xlfn.IFS(AF$24-$I135 &lt;=1, 9/10, AF$24-$I135 &lt;=10,(11-(AF$24-$I135))/10, AF$24-$I135 &gt;=11, 0),
_xlfn.IFS(AF$24-$I135 &lt;=1, 5/6, AF$24-$I135 &lt;=5, (7-(AF$24-$I135))/6, AND(AF$24-$I135 =6,NOT(_xlfn.IFNA(ISNUMBER(SEARCH("Rending",$L135)),FALSE))), (7-(AF$24-$I135))/6, AND(AF$24-$I135 &gt;=7,NOT(_xlfn.IFNA(ISNUMBER(SEARCH("Rending",$L135)),FALSE))), 0, AF$24-$I135 =7, (7-(AF$24-1-$I135))/6, AF$24-$I135 =8, (7-(AF$24-2-$I135))/6*2/3, AF$24-$I135 =9, (7-(AF$24-3-$I135))/6*1/3, TRUE, 0)) *
IF(ISNUMBER(SEARCH("Ordinance",$L135)),7/6,1) *
IF(OR(ISNUMBER(SEARCH("Melee",$L135)),ISNUMBER(SEARCH("Bypass",$L135))),1.5,1)</f>
        <v>0</v>
      </c>
      <c r="AG135" s="16">
        <f t="shared" si="35"/>
        <v>2.333333333333333</v>
      </c>
      <c r="AH135" s="16">
        <f t="shared" si="36"/>
        <v>3.1111111111111107</v>
      </c>
      <c r="AI135" s="17" cm="1">
        <f t="array" ref="AI135">$H135 *
IF(ISNUMBER(SEARCH("Rapid",$L135)),7/6,1) *
IF(OR(ISNUMBER(SEARCH("Beam",$L135)),ISNUMBER(SEARCH("Firestorm",$L135))),1, IF(ISNUMBER(SEARCH("Blast",$L135)),(4+$G135+(2-$G135)*0.5)/6*2,(4+$G135)/6)) *
_xlfn.IFS(AI$24-$I135 &lt;=1, 5/6, AI$24-$I135 &lt;=5, (7-(AI$24-$I135))/6, AND(AI$24-$I135 =6,NOT(_xlfn.IFNA(ISNUMBER(SEARCH("Rending",$L135)),FALSE))), (7-(AI$24-$I135))/6, AND(AI$24-$I135 &gt;=7,NOT(_xlfn.IFNA(ISNUMBER(SEARCH("Rending",$L135)),FALSE))), 0, AI$24-$I135 =7, (7-(AI$24-1-$I135))/6, AI$24-$I135 =8, (7-(AI$24-2-$I135))/6*2/3, AI$24-$I135 =9, (7-(AI$24-3-$I135))/6*1/3, TRUE, 0) *
IF(ISNUMBER(SEARCH("Ordinance",$L135)),7/6,1) *
IF(OR(ISNUMBER(SEARCH("Melee",$L135)),ISNUMBER(SEARCH("Bypass",$L135))),1.5,1)</f>
        <v>3.8888888888888884</v>
      </c>
      <c r="AJ135" s="17" cm="1">
        <f t="array" ref="AJ135">$H135 *
IF(ISNUMBER(SEARCH("Rapid",$L135)),7/6,1) *
IF(OR(ISNUMBER(SEARCH("Beam",$L135)),ISNUMBER(SEARCH("Firestorm",$L135))),1, IF(ISNUMBER(SEARCH("Blast",$L135)),(4+$G135+(2-$G135)*0.5)/6*2,(4+$G135)/6)) *
_xlfn.IFS(AJ$24-$I135 &lt;=1, 5/6, AJ$24-$I135 &lt;=5, (7-(AJ$24-$I135))/6, AND(AJ$24-$I135 =6,NOT(_xlfn.IFNA(ISNUMBER(SEARCH("Rending",$L135)),FALSE))), (7-(AJ$24-$I135))/6, AND(AJ$24-$I135 &gt;=7,NOT(_xlfn.IFNA(ISNUMBER(SEARCH("Rending",$L135)),FALSE))), 0, AJ$24-$I135 =7, (7-(AJ$24-1-$I135))/6, AJ$24-$I135 =8, (7-(AJ$24-2-$I135))/6*2/3, AJ$24-$I135 =9, (7-(AJ$24-3-$I135))/6*1/3, TRUE, 0) *
IF(ISNUMBER(SEARCH("Ordinance",$L135)),7/6,1) *
IF(OR(ISNUMBER(SEARCH("Melee",$L135)),ISNUMBER(SEARCH("Bypass",$L135))),1.5,1)</f>
        <v>3.8888888888888884</v>
      </c>
      <c r="AK135" s="17" cm="1">
        <f t="array" ref="AK135">$H135 *
IF(ISNUMBER(SEARCH("Rapid",$L135)),7/6,1) *
IF(OR(ISNUMBER(SEARCH("Beam",$L135)),ISNUMBER(SEARCH("Firestorm",$L135))),1, IF(ISNUMBER(SEARCH("Blast",$L135)),(4+$G135+(2-$G135)*0.5)/6*2,(4+$G135)/6)) *
_xlfn.IFS(AK$24-$I135 &lt;=1, 5/6, AK$24-$I135 &lt;=5, (7-(AK$24-$I135))/6, AND(AK$24-$I135 =6,NOT(_xlfn.IFNA(ISNUMBER(SEARCH("Rending",$L135)),FALSE))), (7-(AK$24-$I135))/6, AND(AK$24-$I135 &gt;=7,NOT(_xlfn.IFNA(ISNUMBER(SEARCH("Rending",$L135)),FALSE))), 0, AK$24-$I135 =7, (7-(AK$24-1-$I135))/6, AK$24-$I135 =8, (7-(AK$24-2-$I135))/6*2/3, AK$24-$I135 =9, (7-(AK$24-3-$I135))/6*1/3, TRUE, 0) *
IF(ISNUMBER(SEARCH("Ordinance",$L135)),7/6,1) *
IF(OR(ISNUMBER(SEARCH("Melee",$L135)),ISNUMBER(SEARCH("Bypass",$L135))),1.5,1)</f>
        <v>3.1111111111111107</v>
      </c>
      <c r="AL135" s="17" cm="1">
        <f t="array" ref="AL135">$H135 *
IF(ISNUMBER(SEARCH("Rapid",$L135)),7/6,1) *
IF(OR(ISNUMBER(SEARCH("Beam",$L135)),ISNUMBER(SEARCH("Firestorm",$L135))),1, IF(ISNUMBER(SEARCH("Blast",$L135)),(4+$G135+(2-$G135)*0.5)/6*2,(4+$G135)/6)) *
_xlfn.IFS(AL$24-$I135 &lt;=1, 5/6, AL$24-$I135 &lt;=5, (7-(AL$24-$I135))/6, AND(AL$24-$I135 =6,NOT(_xlfn.IFNA(ISNUMBER(SEARCH("Rending",$L135)),FALSE))), (7-(AL$24-$I135))/6, AND(AL$24-$I135 &gt;=7,NOT(_xlfn.IFNA(ISNUMBER(SEARCH("Rending",$L135)),FALSE))), 0, AL$24-$I135 =7, (7-(AL$24-1-$I135))/6, AL$24-$I135 =8, (7-(AL$24-2-$I135))/6*2/3, AL$24-$I135 =9, (7-(AL$24-3-$I135))/6*1/3, TRUE, 0) *
IF(ISNUMBER(SEARCH("Ordinance",$L135)),7/6,1) *
IF(OR(ISNUMBER(SEARCH("Melee",$L135)),ISNUMBER(SEARCH("Bypass",$L135))),1.5,1)</f>
        <v>2.333333333333333</v>
      </c>
      <c r="AM135" s="17" cm="1">
        <f t="array" ref="AM135">$H135 *
IF(ISNUMBER(SEARCH("Rapid",$L135)),7/6,1) *
IF(OR(ISNUMBER(SEARCH("Beam",$L135)),ISNUMBER(SEARCH("Firestorm",$L135))),1, IF(ISNUMBER(SEARCH("Blast",$L135)),(4+$G135+(2-$G135)*0.5)/6*2,(4+$G135)/6)) *
_xlfn.IFS(AM$24-$I135 &lt;=1, 5/6, AM$24-$I135 &lt;=5, (7-(AM$24-$I135))/6, AND(AM$24-$I135 =6,NOT(_xlfn.IFNA(ISNUMBER(SEARCH("Rending",$L135)),FALSE))), (7-(AM$24-$I135))/6, AND(AM$24-$I135 &gt;=7,NOT(_xlfn.IFNA(ISNUMBER(SEARCH("Rending",$L135)),FALSE))), 0, AM$24-$I135 =7, (7-(AM$24-1-$I135))/6, AM$24-$I135 =8, (7-(AM$24-2-$I135))/6*2/3, AM$24-$I135 =9, (7-(AM$24-3-$I135))/6*1/3, TRUE, 0) *
IF(ISNUMBER(SEARCH("Ordinance",$L135)),7/6,1) *
IF(OR(ISNUMBER(SEARCH("Melee",$L135)),ISNUMBER(SEARCH("Bypass",$L135))),1.5,1)</f>
        <v>1.5555555555555554</v>
      </c>
      <c r="AN135" s="17" cm="1">
        <f t="array" ref="AN135">$H135 *
IF(ISNUMBER(SEARCH("Rapid",$L135)),7/6,1) *
IF(OR(ISNUMBER(SEARCH("Beam",$L135)),ISNUMBER(SEARCH("Firestorm",$L135))),1, IF(ISNUMBER(SEARCH("Blast",$L135)),(4+$G135+(2-$G135)*0.5)/6*2,(4+$G135)/6)) *
_xlfn.IFS(AN$24-$I135 &lt;=1, 5/6, AN$24-$I135 &lt;=5, (7-(AN$24-$I135))/6, AND(AN$24-$I135 =6,NOT(_xlfn.IFNA(ISNUMBER(SEARCH("Rending",$L135)),FALSE))), (7-(AN$24-$I135))/6, AND(AN$24-$I135 &gt;=7,NOT(_xlfn.IFNA(ISNUMBER(SEARCH("Rending",$L135)),FALSE))), 0, AN$24-$I135 =7, (7-(AN$24-1-$I135))/6, AN$24-$I135 =8, (7-(AN$24-2-$I135))/6*2/3, AN$24-$I135 =9, (7-(AN$24-3-$I135))/6*1/3, TRUE, 0) *
IF(ISNUMBER(SEARCH("Ordinance",$L135)),7/6,1) *
IF(OR(ISNUMBER(SEARCH("Melee",$L135)),ISNUMBER(SEARCH("Bypass",$L135))),1.5,1)</f>
        <v>0.77777777777777768</v>
      </c>
      <c r="AO135" s="17" cm="1">
        <f t="array" ref="AO135">$H135 *
IF(ISNUMBER(SEARCH("Rapid",$L135)),7/6,1) *
IF(OR(ISNUMBER(SEARCH("Beam",$L135)),ISNUMBER(SEARCH("Firestorm",$L135))),1, IF(ISNUMBER(SEARCH("Blast",$L135)),(4+$G135+(2-$G135)*0.5)/6*2,(4+$G135)/6)) *
_xlfn.IFS(AO$24-$I135 &lt;=1, 5/6, AO$24-$I135 &lt;=5, (7-(AO$24-$I135))/6, AND(AO$24-$I135 =6,NOT(_xlfn.IFNA(ISNUMBER(SEARCH("Rending",$L135)),FALSE))), (7-(AO$24-$I135))/6, AND(AO$24-$I135 &gt;=7,NOT(_xlfn.IFNA(ISNUMBER(SEARCH("Rending",$L135)),FALSE))), 0, AO$24-$I135 =7, (7-(AO$24-1-$I135))/6, AO$24-$I135 =8, (7-(AO$24-2-$I135))/6*2/3, AO$24-$I135 =9, (7-(AO$24-3-$I135))/6*1/3, TRUE, 0) *
IF(ISNUMBER(SEARCH("Ordinance",$L135)),7/6,1) *
IF(OR(ISNUMBER(SEARCH("Melee",$L135)),ISNUMBER(SEARCH("Bypass",$L135))),1.5,1)</f>
        <v>0</v>
      </c>
      <c r="AP135" s="17" cm="1">
        <f t="array" ref="AP135">$H135 *
IF(ISNUMBER(SEARCH("Rapid",$L135)),7/6,1) *
IF(OR(ISNUMBER(SEARCH("Beam",$L135)),ISNUMBER(SEARCH("Firestorm",$L135))),1, IF(ISNUMBER(SEARCH("Blast",$L135)),(4+$G135+(2-$G135)*0.5)/6*2,(4+$G135)/6)) *
_xlfn.IFS(AP$24-$I135 &lt;=1, 5/6, AP$24-$I135 &lt;=5, (7-(AP$24-$I135))/6, AND(AP$24-$I135 =6,NOT(_xlfn.IFNA(ISNUMBER(SEARCH("Rending",$L135)),FALSE))), (7-(AP$24-$I135))/6, AND(AP$24-$I135 &gt;=7,NOT(_xlfn.IFNA(ISNUMBER(SEARCH("Rending",$L135)),FALSE))), 0, AP$24-$I135 =7, (7-(AP$24-1-$I135))/6, AP$24-$I135 =8, (7-(AP$24-2-$I135))/6*2/3, AP$24-$I135 =9, (7-(AP$24-3-$I135))/6*1/3, TRUE, 0) *
IF(ISNUMBER(SEARCH("Ordinance",$L135)),7/6,1) *
IF(OR(ISNUMBER(SEARCH("Melee",$L135)),ISNUMBER(SEARCH("Bypass",$L135))),1.5,1)</f>
        <v>0</v>
      </c>
      <c r="AQ135" s="17" cm="1">
        <f t="array" ref="AQ135">$H135 *
IF(ISNUMBER(SEARCH("Rapid",$L135)),7/6,1) *
IF(OR(ISNUMBER(SEARCH("Beam",$L135)),ISNUMBER(SEARCH("Firestorm",$L135))),1, IF(ISNUMBER(SEARCH("Blast",$L135)),(4+$G135+(2-$G135)*0.5)/6*2,(4+$G135)/6)) *
_xlfn.IFS(AQ$24-$I135 &lt;=1, 5/6, AQ$24-$I135 &lt;=5, (7-(AQ$24-$I135))/6, AND(AQ$24-$I135 =6,NOT(_xlfn.IFNA(ISNUMBER(SEARCH("Rending",$L135)),FALSE))), (7-(AQ$24-$I135))/6, AND(AQ$24-$I135 &gt;=7,NOT(_xlfn.IFNA(ISNUMBER(SEARCH("Rending",$L135)),FALSE))), 0, AQ$24-$I135 =7, (7-(AQ$24-1-$I135))/6, AQ$24-$I135 =8, (7-(AQ$24-2-$I135))/6*2/3, AQ$24-$I135 =9, (7-(AQ$24-3-$I135))/6*1/3, TRUE, 0) *
IF(ISNUMBER(SEARCH("Ordinance",$L135)),7/6,1) *
IF(OR(ISNUMBER(SEARCH("Melee",$L135)),ISNUMBER(SEARCH("Bypass",$L135))),1.5,1)</f>
        <v>0</v>
      </c>
      <c r="AS135" s="16">
        <f t="shared" si="30"/>
        <v>1.5555555555555554</v>
      </c>
      <c r="AT135" s="16">
        <f t="shared" si="31"/>
        <v>2.074074074074074</v>
      </c>
      <c r="AU135" s="16">
        <f t="shared" si="32"/>
        <v>3.2407407407407405</v>
      </c>
      <c r="AV135" s="2">
        <v>12</v>
      </c>
    </row>
    <row r="136" spans="1:48" x14ac:dyDescent="0.3">
      <c r="F136" s="10"/>
      <c r="G136" s="10"/>
      <c r="V136" s="16">
        <f t="shared" si="33"/>
        <v>0</v>
      </c>
      <c r="W136" s="16">
        <f t="shared" si="34"/>
        <v>0</v>
      </c>
      <c r="X136" s="17" cm="1">
        <f t="array" ref="X136">$H136 *
IF(ISNUMBER(SEARCH("Rapid",$L136)),7/6,1) *
IF(OR(ISNUMBER(SEARCH("Beam",$L136)),ISNUMBER(SEARCH("Firestorm",$L136))),1, IF(ISNUMBER(SEARCH("Blast",$L136)),(4+$F136+(2-$F136)*0.5)/6*2,(4+$F136)/6)) *
IF(ISNUMBER(SEARCH("Fusion",$L136)), _xlfn.IFS(X$24-$I136 &lt;=1, 9/10, X$24-$I136 &lt;=10,(11-(X$24-$I136))/10, X$24-$I136 &gt;=11, 0),
_xlfn.IFS(X$24-$I136 &lt;=1, 5/6, X$24-$I136 &lt;=5, (7-(X$24-$I136))/6, AND(X$24-$I136 =6,NOT(_xlfn.IFNA(ISNUMBER(SEARCH("Rending",$L136)),FALSE))), (7-(X$24-$I136))/6, AND(X$24-$I136 &gt;=7,NOT(_xlfn.IFNA(ISNUMBER(SEARCH("Rending",$L136)),FALSE))), 0, X$24-$I136 =7, (7-(X$24-1-$I136))/6, X$24-$I136 =8, (7-(X$24-2-$I136))/6*2/3, X$24-$I136 =9, (7-(X$24-3-$I136))/6*1/3, TRUE, 0)) *
IF(ISNUMBER(SEARCH("Ordinance",$L136)),7/6,1) *
IF(OR(ISNUMBER(SEARCH("Melee",$L136)),ISNUMBER(SEARCH("Bypass",$L136))),1.5,1)</f>
        <v>0</v>
      </c>
      <c r="Y136" s="17" cm="1">
        <f t="array" ref="Y136">$H136 *
IF(ISNUMBER(SEARCH("Rapid",$L136)),7/6,1) *
IF(OR(ISNUMBER(SEARCH("Beam",$L136)),ISNUMBER(SEARCH("Firestorm",$L136))),1, IF(ISNUMBER(SEARCH("Blast",$L136)),(4+$F136+(2-$F136)*0.5)/6*2,(4+$F136)/6)) *
IF(ISNUMBER(SEARCH("Fusion",$L136)), _xlfn.IFS(Y$24-$I136 &lt;=1, 9/10, Y$24-$I136 &lt;=10,(11-(Y$24-$I136))/10, Y$24-$I136 &gt;=11, 0),
_xlfn.IFS(Y$24-$I136 &lt;=1, 5/6, Y$24-$I136 &lt;=5, (7-(Y$24-$I136))/6, AND(Y$24-$I136 =6,NOT(_xlfn.IFNA(ISNUMBER(SEARCH("Rending",$L136)),FALSE))), (7-(Y$24-$I136))/6, AND(Y$24-$I136 &gt;=7,NOT(_xlfn.IFNA(ISNUMBER(SEARCH("Rending",$L136)),FALSE))), 0, Y$24-$I136 =7, (7-(Y$24-1-$I136))/6, Y$24-$I136 =8, (7-(Y$24-2-$I136))/6*2/3, Y$24-$I136 =9, (7-(Y$24-3-$I136))/6*1/3, TRUE, 0)) *
IF(ISNUMBER(SEARCH("Ordinance",$L136)),7/6,1) *
IF(OR(ISNUMBER(SEARCH("Melee",$L136)),ISNUMBER(SEARCH("Bypass",$L136))),1.5,1)</f>
        <v>0</v>
      </c>
      <c r="Z136" s="17" cm="1">
        <f t="array" ref="Z136">$H136 *
IF(ISNUMBER(SEARCH("Rapid",$L136)),7/6,1) *
IF(OR(ISNUMBER(SEARCH("Beam",$L136)),ISNUMBER(SEARCH("Firestorm",$L136))),1, IF(ISNUMBER(SEARCH("Blast",$L136)),(4+$F136+(2-$F136)*0.5)/6*2,(4+$F136)/6)) *
IF(ISNUMBER(SEARCH("Fusion",$L136)), _xlfn.IFS(Z$24-$I136 &lt;=1, 9/10, Z$24-$I136 &lt;=10,(11-(Z$24-$I136))/10, Z$24-$I136 &gt;=11, 0),
_xlfn.IFS(Z$24-$I136 &lt;=1, 5/6, Z$24-$I136 &lt;=5, (7-(Z$24-$I136))/6, AND(Z$24-$I136 =6,NOT(_xlfn.IFNA(ISNUMBER(SEARCH("Rending",$L136)),FALSE))), (7-(Z$24-$I136))/6, AND(Z$24-$I136 &gt;=7,NOT(_xlfn.IFNA(ISNUMBER(SEARCH("Rending",$L136)),FALSE))), 0, Z$24-$I136 =7, (7-(Z$24-1-$I136))/6, Z$24-$I136 =8, (7-(Z$24-2-$I136))/6*2/3, Z$24-$I136 =9, (7-(Z$24-3-$I136))/6*1/3, TRUE, 0)) *
IF(ISNUMBER(SEARCH("Ordinance",$L136)),7/6,1) *
IF(OR(ISNUMBER(SEARCH("Melee",$L136)),ISNUMBER(SEARCH("Bypass",$L136))),1.5,1)</f>
        <v>0</v>
      </c>
      <c r="AA136" s="17" cm="1">
        <f t="array" ref="AA136">$H136 *
IF(ISNUMBER(SEARCH("Rapid",$L136)),7/6,1) *
IF(OR(ISNUMBER(SEARCH("Beam",$L136)),ISNUMBER(SEARCH("Firestorm",$L136))),1, IF(ISNUMBER(SEARCH("Blast",$L136)),(4+$F136+(2-$F136)*0.5)/6*2,(4+$F136)/6)) *
IF(ISNUMBER(SEARCH("Fusion",$L136)), _xlfn.IFS(AA$24-$I136 &lt;=1, 9/10, AA$24-$I136 &lt;=10,(11-(AA$24-$I136))/10, AA$24-$I136 &gt;=11, 0),
_xlfn.IFS(AA$24-$I136 &lt;=1, 5/6, AA$24-$I136 &lt;=5, (7-(AA$24-$I136))/6, AND(AA$24-$I136 =6,NOT(_xlfn.IFNA(ISNUMBER(SEARCH("Rending",$L136)),FALSE))), (7-(AA$24-$I136))/6, AND(AA$24-$I136 &gt;=7,NOT(_xlfn.IFNA(ISNUMBER(SEARCH("Rending",$L136)),FALSE))), 0, AA$24-$I136 =7, (7-(AA$24-1-$I136))/6, AA$24-$I136 =8, (7-(AA$24-2-$I136))/6*2/3, AA$24-$I136 =9, (7-(AA$24-3-$I136))/6*1/3, TRUE, 0)) *
IF(ISNUMBER(SEARCH("Ordinance",$L136)),7/6,1) *
IF(OR(ISNUMBER(SEARCH("Melee",$L136)),ISNUMBER(SEARCH("Bypass",$L136))),1.5,1)</f>
        <v>0</v>
      </c>
      <c r="AB136" s="17" cm="1">
        <f t="array" ref="AB136">$H136 *
IF(ISNUMBER(SEARCH("Rapid",$L136)),7/6,1) *
IF(OR(ISNUMBER(SEARCH("Beam",$L136)),ISNUMBER(SEARCH("Firestorm",$L136))),1, IF(ISNUMBER(SEARCH("Blast",$L136)),(4+$F136+(2-$F136)*0.5)/6*2,(4+$F136)/6)) *
IF(ISNUMBER(SEARCH("Fusion",$L136)), _xlfn.IFS(AB$24-$I136 &lt;=1, 9/10, AB$24-$I136 &lt;=10,(11-(AB$24-$I136))/10, AB$24-$I136 &gt;=11, 0),
_xlfn.IFS(AB$24-$I136 &lt;=1, 5/6, AB$24-$I136 &lt;=5, (7-(AB$24-$I136))/6, AND(AB$24-$I136 =6,NOT(_xlfn.IFNA(ISNUMBER(SEARCH("Rending",$L136)),FALSE))), (7-(AB$24-$I136))/6, AND(AB$24-$I136 &gt;=7,NOT(_xlfn.IFNA(ISNUMBER(SEARCH("Rending",$L136)),FALSE))), 0, AB$24-$I136 =7, (7-(AB$24-1-$I136))/6, AB$24-$I136 =8, (7-(AB$24-2-$I136))/6*2/3, AB$24-$I136 =9, (7-(AB$24-3-$I136))/6*1/3, TRUE, 0)) *
IF(ISNUMBER(SEARCH("Ordinance",$L136)),7/6,1) *
IF(OR(ISNUMBER(SEARCH("Melee",$L136)),ISNUMBER(SEARCH("Bypass",$L136))),1.5,1)</f>
        <v>0</v>
      </c>
      <c r="AC136" s="17" cm="1">
        <f t="array" ref="AC136">$H136 *
IF(ISNUMBER(SEARCH("Rapid",$L136)),7/6,1) *
IF(OR(ISNUMBER(SEARCH("Beam",$L136)),ISNUMBER(SEARCH("Firestorm",$L136))),1, IF(ISNUMBER(SEARCH("Blast",$L136)),(4+$F136+(2-$F136)*0.5)/6*2,(4+$F136)/6)) *
IF(ISNUMBER(SEARCH("Fusion",$L136)), _xlfn.IFS(AC$24-$I136 &lt;=1, 9/10, AC$24-$I136 &lt;=10,(11-(AC$24-$I136))/10, AC$24-$I136 &gt;=11, 0),
_xlfn.IFS(AC$24-$I136 &lt;=1, 5/6, AC$24-$I136 &lt;=5, (7-(AC$24-$I136))/6, AND(AC$24-$I136 =6,NOT(_xlfn.IFNA(ISNUMBER(SEARCH("Rending",$L136)),FALSE))), (7-(AC$24-$I136))/6, AND(AC$24-$I136 &gt;=7,NOT(_xlfn.IFNA(ISNUMBER(SEARCH("Rending",$L136)),FALSE))), 0, AC$24-$I136 =7, (7-(AC$24-1-$I136))/6, AC$24-$I136 =8, (7-(AC$24-2-$I136))/6*2/3, AC$24-$I136 =9, (7-(AC$24-3-$I136))/6*1/3, TRUE, 0)) *
IF(ISNUMBER(SEARCH("Ordinance",$L136)),7/6,1) *
IF(OR(ISNUMBER(SEARCH("Melee",$L136)),ISNUMBER(SEARCH("Bypass",$L136))),1.5,1)</f>
        <v>0</v>
      </c>
      <c r="AD136" s="17" cm="1">
        <f t="array" ref="AD136">$H136 *
IF(ISNUMBER(SEARCH("Rapid",$L136)),7/6,1) *
IF(OR(ISNUMBER(SEARCH("Beam",$L136)),ISNUMBER(SEARCH("Firestorm",$L136))),1, IF(ISNUMBER(SEARCH("Blast",$L136)),(4+$F136+(2-$F136)*0.5)/6*2,(4+$F136)/6)) *
IF(ISNUMBER(SEARCH("Fusion",$L136)), _xlfn.IFS(AD$24-$I136 &lt;=1, 9/10, AD$24-$I136 &lt;=10,(11-(AD$24-$I136))/10, AD$24-$I136 &gt;=11, 0),
_xlfn.IFS(AD$24-$I136 &lt;=1, 5/6, AD$24-$I136 &lt;=5, (7-(AD$24-$I136))/6, AND(AD$24-$I136 =6,NOT(_xlfn.IFNA(ISNUMBER(SEARCH("Rending",$L136)),FALSE))), (7-(AD$24-$I136))/6, AND(AD$24-$I136 &gt;=7,NOT(_xlfn.IFNA(ISNUMBER(SEARCH("Rending",$L136)),FALSE))), 0, AD$24-$I136 =7, (7-(AD$24-1-$I136))/6, AD$24-$I136 =8, (7-(AD$24-2-$I136))/6*2/3, AD$24-$I136 =9, (7-(AD$24-3-$I136))/6*1/3, TRUE, 0)) *
IF(ISNUMBER(SEARCH("Ordinance",$L136)),7/6,1) *
IF(OR(ISNUMBER(SEARCH("Melee",$L136)),ISNUMBER(SEARCH("Bypass",$L136))),1.5,1)</f>
        <v>0</v>
      </c>
      <c r="AE136" s="17" cm="1">
        <f t="array" ref="AE136">$H136 *
IF(ISNUMBER(SEARCH("Rapid",$L136)),7/6,1) *
IF(OR(ISNUMBER(SEARCH("Beam",$L136)),ISNUMBER(SEARCH("Firestorm",$L136))),1, IF(ISNUMBER(SEARCH("Blast",$L136)),(4+$F136+(2-$F136)*0.5)/6*2,(4+$F136)/6)) *
IF(ISNUMBER(SEARCH("Fusion",$L136)), _xlfn.IFS(AE$24-$I136 &lt;=1, 9/10, AE$24-$I136 &lt;=10,(11-(AE$24-$I136))/10, AE$24-$I136 &gt;=11, 0),
_xlfn.IFS(AE$24-$I136 &lt;=1, 5/6, AE$24-$I136 &lt;=5, (7-(AE$24-$I136))/6, AND(AE$24-$I136 =6,NOT(_xlfn.IFNA(ISNUMBER(SEARCH("Rending",$L136)),FALSE))), (7-(AE$24-$I136))/6, AND(AE$24-$I136 &gt;=7,NOT(_xlfn.IFNA(ISNUMBER(SEARCH("Rending",$L136)),FALSE))), 0, AE$24-$I136 =7, (7-(AE$24-1-$I136))/6, AE$24-$I136 =8, (7-(AE$24-2-$I136))/6*2/3, AE$24-$I136 =9, (7-(AE$24-3-$I136))/6*1/3, TRUE, 0)) *
IF(ISNUMBER(SEARCH("Ordinance",$L136)),7/6,1) *
IF(OR(ISNUMBER(SEARCH("Melee",$L136)),ISNUMBER(SEARCH("Bypass",$L136))),1.5,1)</f>
        <v>0</v>
      </c>
      <c r="AF136" s="17" cm="1">
        <f t="array" ref="AF136">$H136 *
IF(ISNUMBER(SEARCH("Rapid",$L136)),7/6,1) *
IF(OR(ISNUMBER(SEARCH("Beam",$L136)),ISNUMBER(SEARCH("Firestorm",$L136))),1, IF(ISNUMBER(SEARCH("Blast",$L136)),(4+$F136+(2-$F136)*0.5)/6*2,(4+$F136)/6)) *
IF(ISNUMBER(SEARCH("Fusion",$L136)), _xlfn.IFS(AF$24-$I136 &lt;=1, 9/10, AF$24-$I136 &lt;=10,(11-(AF$24-$I136))/10, AF$24-$I136 &gt;=11, 0),
_xlfn.IFS(AF$24-$I136 &lt;=1, 5/6, AF$24-$I136 &lt;=5, (7-(AF$24-$I136))/6, AND(AF$24-$I136 =6,NOT(_xlfn.IFNA(ISNUMBER(SEARCH("Rending",$L136)),FALSE))), (7-(AF$24-$I136))/6, AND(AF$24-$I136 &gt;=7,NOT(_xlfn.IFNA(ISNUMBER(SEARCH("Rending",$L136)),FALSE))), 0, AF$24-$I136 =7, (7-(AF$24-1-$I136))/6, AF$24-$I136 =8, (7-(AF$24-2-$I136))/6*2/3, AF$24-$I136 =9, (7-(AF$24-3-$I136))/6*1/3, TRUE, 0)) *
IF(ISNUMBER(SEARCH("Ordinance",$L136)),7/6,1) *
IF(OR(ISNUMBER(SEARCH("Melee",$L136)),ISNUMBER(SEARCH("Bypass",$L136))),1.5,1)</f>
        <v>0</v>
      </c>
      <c r="AG136" s="16">
        <f t="shared" si="35"/>
        <v>0</v>
      </c>
      <c r="AH136" s="16">
        <f t="shared" si="36"/>
        <v>0</v>
      </c>
      <c r="AI136" s="17" cm="1">
        <f t="array" ref="AI136">$H136 *
IF(ISNUMBER(SEARCH("Rapid",$L136)),7/6,1) *
IF(OR(ISNUMBER(SEARCH("Beam",$L136)),ISNUMBER(SEARCH("Firestorm",$L136))),1, IF(ISNUMBER(SEARCH("Blast",$L136)),(4+$G136+(2-$G136)*0.5)/6*2,(4+$G136)/6)) *
_xlfn.IFS(AI$24-$I136 &lt;=1, 5/6, AI$24-$I136 &lt;=5, (7-(AI$24-$I136))/6, AND(AI$24-$I136 =6,NOT(_xlfn.IFNA(ISNUMBER(SEARCH("Rending",$L136)),FALSE))), (7-(AI$24-$I136))/6, AND(AI$24-$I136 &gt;=7,NOT(_xlfn.IFNA(ISNUMBER(SEARCH("Rending",$L136)),FALSE))), 0, AI$24-$I136 =7, (7-(AI$24-1-$I136))/6, AI$24-$I136 =8, (7-(AI$24-2-$I136))/6*2/3, AI$24-$I136 =9, (7-(AI$24-3-$I136))/6*1/3, TRUE, 0) *
IF(ISNUMBER(SEARCH("Ordinance",$L136)),7/6,1) *
IF(OR(ISNUMBER(SEARCH("Melee",$L136)),ISNUMBER(SEARCH("Bypass",$L136))),1.5,1)</f>
        <v>0</v>
      </c>
      <c r="AJ136" s="17" cm="1">
        <f t="array" ref="AJ136">$H136 *
IF(ISNUMBER(SEARCH("Rapid",$L136)),7/6,1) *
IF(OR(ISNUMBER(SEARCH("Beam",$L136)),ISNUMBER(SEARCH("Firestorm",$L136))),1, IF(ISNUMBER(SEARCH("Blast",$L136)),(4+$G136+(2-$G136)*0.5)/6*2,(4+$G136)/6)) *
_xlfn.IFS(AJ$24-$I136 &lt;=1, 5/6, AJ$24-$I136 &lt;=5, (7-(AJ$24-$I136))/6, AND(AJ$24-$I136 =6,NOT(_xlfn.IFNA(ISNUMBER(SEARCH("Rending",$L136)),FALSE))), (7-(AJ$24-$I136))/6, AND(AJ$24-$I136 &gt;=7,NOT(_xlfn.IFNA(ISNUMBER(SEARCH("Rending",$L136)),FALSE))), 0, AJ$24-$I136 =7, (7-(AJ$24-1-$I136))/6, AJ$24-$I136 =8, (7-(AJ$24-2-$I136))/6*2/3, AJ$24-$I136 =9, (7-(AJ$24-3-$I136))/6*1/3, TRUE, 0) *
IF(ISNUMBER(SEARCH("Ordinance",$L136)),7/6,1) *
IF(OR(ISNUMBER(SEARCH("Melee",$L136)),ISNUMBER(SEARCH("Bypass",$L136))),1.5,1)</f>
        <v>0</v>
      </c>
      <c r="AK136" s="17" cm="1">
        <f t="array" ref="AK136">$H136 *
IF(ISNUMBER(SEARCH("Rapid",$L136)),7/6,1) *
IF(OR(ISNUMBER(SEARCH("Beam",$L136)),ISNUMBER(SEARCH("Firestorm",$L136))),1, IF(ISNUMBER(SEARCH("Blast",$L136)),(4+$G136+(2-$G136)*0.5)/6*2,(4+$G136)/6)) *
_xlfn.IFS(AK$24-$I136 &lt;=1, 5/6, AK$24-$I136 &lt;=5, (7-(AK$24-$I136))/6, AND(AK$24-$I136 =6,NOT(_xlfn.IFNA(ISNUMBER(SEARCH("Rending",$L136)),FALSE))), (7-(AK$24-$I136))/6, AND(AK$24-$I136 &gt;=7,NOT(_xlfn.IFNA(ISNUMBER(SEARCH("Rending",$L136)),FALSE))), 0, AK$24-$I136 =7, (7-(AK$24-1-$I136))/6, AK$24-$I136 =8, (7-(AK$24-2-$I136))/6*2/3, AK$24-$I136 =9, (7-(AK$24-3-$I136))/6*1/3, TRUE, 0) *
IF(ISNUMBER(SEARCH("Ordinance",$L136)),7/6,1) *
IF(OR(ISNUMBER(SEARCH("Melee",$L136)),ISNUMBER(SEARCH("Bypass",$L136))),1.5,1)</f>
        <v>0</v>
      </c>
      <c r="AL136" s="17" cm="1">
        <f t="array" ref="AL136">$H136 *
IF(ISNUMBER(SEARCH("Rapid",$L136)),7/6,1) *
IF(OR(ISNUMBER(SEARCH("Beam",$L136)),ISNUMBER(SEARCH("Firestorm",$L136))),1, IF(ISNUMBER(SEARCH("Blast",$L136)),(4+$G136+(2-$G136)*0.5)/6*2,(4+$G136)/6)) *
_xlfn.IFS(AL$24-$I136 &lt;=1, 5/6, AL$24-$I136 &lt;=5, (7-(AL$24-$I136))/6, AND(AL$24-$I136 =6,NOT(_xlfn.IFNA(ISNUMBER(SEARCH("Rending",$L136)),FALSE))), (7-(AL$24-$I136))/6, AND(AL$24-$I136 &gt;=7,NOT(_xlfn.IFNA(ISNUMBER(SEARCH("Rending",$L136)),FALSE))), 0, AL$24-$I136 =7, (7-(AL$24-1-$I136))/6, AL$24-$I136 =8, (7-(AL$24-2-$I136))/6*2/3, AL$24-$I136 =9, (7-(AL$24-3-$I136))/6*1/3, TRUE, 0) *
IF(ISNUMBER(SEARCH("Ordinance",$L136)),7/6,1) *
IF(OR(ISNUMBER(SEARCH("Melee",$L136)),ISNUMBER(SEARCH("Bypass",$L136))),1.5,1)</f>
        <v>0</v>
      </c>
      <c r="AM136" s="17" cm="1">
        <f t="array" ref="AM136">$H136 *
IF(ISNUMBER(SEARCH("Rapid",$L136)),7/6,1) *
IF(OR(ISNUMBER(SEARCH("Beam",$L136)),ISNUMBER(SEARCH("Firestorm",$L136))),1, IF(ISNUMBER(SEARCH("Blast",$L136)),(4+$G136+(2-$G136)*0.5)/6*2,(4+$G136)/6)) *
_xlfn.IFS(AM$24-$I136 &lt;=1, 5/6, AM$24-$I136 &lt;=5, (7-(AM$24-$I136))/6, AND(AM$24-$I136 =6,NOT(_xlfn.IFNA(ISNUMBER(SEARCH("Rending",$L136)),FALSE))), (7-(AM$24-$I136))/6, AND(AM$24-$I136 &gt;=7,NOT(_xlfn.IFNA(ISNUMBER(SEARCH("Rending",$L136)),FALSE))), 0, AM$24-$I136 =7, (7-(AM$24-1-$I136))/6, AM$24-$I136 =8, (7-(AM$24-2-$I136))/6*2/3, AM$24-$I136 =9, (7-(AM$24-3-$I136))/6*1/3, TRUE, 0) *
IF(ISNUMBER(SEARCH("Ordinance",$L136)),7/6,1) *
IF(OR(ISNUMBER(SEARCH("Melee",$L136)),ISNUMBER(SEARCH("Bypass",$L136))),1.5,1)</f>
        <v>0</v>
      </c>
      <c r="AN136" s="17" cm="1">
        <f t="array" ref="AN136">$H136 *
IF(ISNUMBER(SEARCH("Rapid",$L136)),7/6,1) *
IF(OR(ISNUMBER(SEARCH("Beam",$L136)),ISNUMBER(SEARCH("Firestorm",$L136))),1, IF(ISNUMBER(SEARCH("Blast",$L136)),(4+$G136+(2-$G136)*0.5)/6*2,(4+$G136)/6)) *
_xlfn.IFS(AN$24-$I136 &lt;=1, 5/6, AN$24-$I136 &lt;=5, (7-(AN$24-$I136))/6, AND(AN$24-$I136 =6,NOT(_xlfn.IFNA(ISNUMBER(SEARCH("Rending",$L136)),FALSE))), (7-(AN$24-$I136))/6, AND(AN$24-$I136 &gt;=7,NOT(_xlfn.IFNA(ISNUMBER(SEARCH("Rending",$L136)),FALSE))), 0, AN$24-$I136 =7, (7-(AN$24-1-$I136))/6, AN$24-$I136 =8, (7-(AN$24-2-$I136))/6*2/3, AN$24-$I136 =9, (7-(AN$24-3-$I136))/6*1/3, TRUE, 0) *
IF(ISNUMBER(SEARCH("Ordinance",$L136)),7/6,1) *
IF(OR(ISNUMBER(SEARCH("Melee",$L136)),ISNUMBER(SEARCH("Bypass",$L136))),1.5,1)</f>
        <v>0</v>
      </c>
      <c r="AO136" s="17" cm="1">
        <f t="array" ref="AO136">$H136 *
IF(ISNUMBER(SEARCH("Rapid",$L136)),7/6,1) *
IF(OR(ISNUMBER(SEARCH("Beam",$L136)),ISNUMBER(SEARCH("Firestorm",$L136))),1, IF(ISNUMBER(SEARCH("Blast",$L136)),(4+$G136+(2-$G136)*0.5)/6*2,(4+$G136)/6)) *
_xlfn.IFS(AO$24-$I136 &lt;=1, 5/6, AO$24-$I136 &lt;=5, (7-(AO$24-$I136))/6, AND(AO$24-$I136 =6,NOT(_xlfn.IFNA(ISNUMBER(SEARCH("Rending",$L136)),FALSE))), (7-(AO$24-$I136))/6, AND(AO$24-$I136 &gt;=7,NOT(_xlfn.IFNA(ISNUMBER(SEARCH("Rending",$L136)),FALSE))), 0, AO$24-$I136 =7, (7-(AO$24-1-$I136))/6, AO$24-$I136 =8, (7-(AO$24-2-$I136))/6*2/3, AO$24-$I136 =9, (7-(AO$24-3-$I136))/6*1/3, TRUE, 0) *
IF(ISNUMBER(SEARCH("Ordinance",$L136)),7/6,1) *
IF(OR(ISNUMBER(SEARCH("Melee",$L136)),ISNUMBER(SEARCH("Bypass",$L136))),1.5,1)</f>
        <v>0</v>
      </c>
      <c r="AP136" s="17" cm="1">
        <f t="array" ref="AP136">$H136 *
IF(ISNUMBER(SEARCH("Rapid",$L136)),7/6,1) *
IF(OR(ISNUMBER(SEARCH("Beam",$L136)),ISNUMBER(SEARCH("Firestorm",$L136))),1, IF(ISNUMBER(SEARCH("Blast",$L136)),(4+$G136+(2-$G136)*0.5)/6*2,(4+$G136)/6)) *
_xlfn.IFS(AP$24-$I136 &lt;=1, 5/6, AP$24-$I136 &lt;=5, (7-(AP$24-$I136))/6, AND(AP$24-$I136 =6,NOT(_xlfn.IFNA(ISNUMBER(SEARCH("Rending",$L136)),FALSE))), (7-(AP$24-$I136))/6, AND(AP$24-$I136 &gt;=7,NOT(_xlfn.IFNA(ISNUMBER(SEARCH("Rending",$L136)),FALSE))), 0, AP$24-$I136 =7, (7-(AP$24-1-$I136))/6, AP$24-$I136 =8, (7-(AP$24-2-$I136))/6*2/3, AP$24-$I136 =9, (7-(AP$24-3-$I136))/6*1/3, TRUE, 0) *
IF(ISNUMBER(SEARCH("Ordinance",$L136)),7/6,1) *
IF(OR(ISNUMBER(SEARCH("Melee",$L136)),ISNUMBER(SEARCH("Bypass",$L136))),1.5,1)</f>
        <v>0</v>
      </c>
      <c r="AQ136" s="17" cm="1">
        <f t="array" ref="AQ136">$H136 *
IF(ISNUMBER(SEARCH("Rapid",$L136)),7/6,1) *
IF(OR(ISNUMBER(SEARCH("Beam",$L136)),ISNUMBER(SEARCH("Firestorm",$L136))),1, IF(ISNUMBER(SEARCH("Blast",$L136)),(4+$G136+(2-$G136)*0.5)/6*2,(4+$G136)/6)) *
_xlfn.IFS(AQ$24-$I136 &lt;=1, 5/6, AQ$24-$I136 &lt;=5, (7-(AQ$24-$I136))/6, AND(AQ$24-$I136 =6,NOT(_xlfn.IFNA(ISNUMBER(SEARCH("Rending",$L136)),FALSE))), (7-(AQ$24-$I136))/6, AND(AQ$24-$I136 &gt;=7,NOT(_xlfn.IFNA(ISNUMBER(SEARCH("Rending",$L136)),FALSE))), 0, AQ$24-$I136 =7, (7-(AQ$24-1-$I136))/6, AQ$24-$I136 =8, (7-(AQ$24-2-$I136))/6*2/3, AQ$24-$I136 =9, (7-(AQ$24-3-$I136))/6*1/3, TRUE, 0) *
IF(ISNUMBER(SEARCH("Ordinance",$L136)),7/6,1) *
IF(OR(ISNUMBER(SEARCH("Melee",$L136)),ISNUMBER(SEARCH("Bypass",$L136))),1.5,1)</f>
        <v>0</v>
      </c>
    </row>
    <row r="137" spans="1:48" x14ac:dyDescent="0.3">
      <c r="A137" s="6" t="s">
        <v>470</v>
      </c>
      <c r="F137" s="10"/>
      <c r="G137" s="10"/>
      <c r="V137" s="16">
        <f t="shared" si="33"/>
        <v>0</v>
      </c>
      <c r="W137" s="16">
        <f t="shared" si="34"/>
        <v>0</v>
      </c>
      <c r="X137" s="17" cm="1">
        <f t="array" ref="X137">$H137 *
IF(ISNUMBER(SEARCH("Rapid",$L137)),7/6,1) *
IF(OR(ISNUMBER(SEARCH("Beam",$L137)),ISNUMBER(SEARCH("Firestorm",$L137))),1, IF(ISNUMBER(SEARCH("Blast",$L137)),(4+$F137+(2-$F137)*0.5)/6*2,(4+$F137)/6)) *
IF(ISNUMBER(SEARCH("Fusion",$L137)), _xlfn.IFS(X$24-$I137 &lt;=1, 9/10, X$24-$I137 &lt;=10,(11-(X$24-$I137))/10, X$24-$I137 &gt;=11, 0),
_xlfn.IFS(X$24-$I137 &lt;=1, 5/6, X$24-$I137 &lt;=5, (7-(X$24-$I137))/6, AND(X$24-$I137 =6,NOT(_xlfn.IFNA(ISNUMBER(SEARCH("Rending",$L137)),FALSE))), (7-(X$24-$I137))/6, AND(X$24-$I137 &gt;=7,NOT(_xlfn.IFNA(ISNUMBER(SEARCH("Rending",$L137)),FALSE))), 0, X$24-$I137 =7, (7-(X$24-1-$I137))/6, X$24-$I137 =8, (7-(X$24-2-$I137))/6*2/3, X$24-$I137 =9, (7-(X$24-3-$I137))/6*1/3, TRUE, 0)) *
IF(ISNUMBER(SEARCH("Ordinance",$L137)),7/6,1) *
IF(OR(ISNUMBER(SEARCH("Melee",$L137)),ISNUMBER(SEARCH("Bypass",$L137))),1.5,1)</f>
        <v>0</v>
      </c>
      <c r="Y137" s="17" cm="1">
        <f t="array" ref="Y137">$H137 *
IF(ISNUMBER(SEARCH("Rapid",$L137)),7/6,1) *
IF(OR(ISNUMBER(SEARCH("Beam",$L137)),ISNUMBER(SEARCH("Firestorm",$L137))),1, IF(ISNUMBER(SEARCH("Blast",$L137)),(4+$F137+(2-$F137)*0.5)/6*2,(4+$F137)/6)) *
IF(ISNUMBER(SEARCH("Fusion",$L137)), _xlfn.IFS(Y$24-$I137 &lt;=1, 9/10, Y$24-$I137 &lt;=10,(11-(Y$24-$I137))/10, Y$24-$I137 &gt;=11, 0),
_xlfn.IFS(Y$24-$I137 &lt;=1, 5/6, Y$24-$I137 &lt;=5, (7-(Y$24-$I137))/6, AND(Y$24-$I137 =6,NOT(_xlfn.IFNA(ISNUMBER(SEARCH("Rending",$L137)),FALSE))), (7-(Y$24-$I137))/6, AND(Y$24-$I137 &gt;=7,NOT(_xlfn.IFNA(ISNUMBER(SEARCH("Rending",$L137)),FALSE))), 0, Y$24-$I137 =7, (7-(Y$24-1-$I137))/6, Y$24-$I137 =8, (7-(Y$24-2-$I137))/6*2/3, Y$24-$I137 =9, (7-(Y$24-3-$I137))/6*1/3, TRUE, 0)) *
IF(ISNUMBER(SEARCH("Ordinance",$L137)),7/6,1) *
IF(OR(ISNUMBER(SEARCH("Melee",$L137)),ISNUMBER(SEARCH("Bypass",$L137))),1.5,1)</f>
        <v>0</v>
      </c>
      <c r="Z137" s="17" cm="1">
        <f t="array" ref="Z137">$H137 *
IF(ISNUMBER(SEARCH("Rapid",$L137)),7/6,1) *
IF(OR(ISNUMBER(SEARCH("Beam",$L137)),ISNUMBER(SEARCH("Firestorm",$L137))),1, IF(ISNUMBER(SEARCH("Blast",$L137)),(4+$F137+(2-$F137)*0.5)/6*2,(4+$F137)/6)) *
IF(ISNUMBER(SEARCH("Fusion",$L137)), _xlfn.IFS(Z$24-$I137 &lt;=1, 9/10, Z$24-$I137 &lt;=10,(11-(Z$24-$I137))/10, Z$24-$I137 &gt;=11, 0),
_xlfn.IFS(Z$24-$I137 &lt;=1, 5/6, Z$24-$I137 &lt;=5, (7-(Z$24-$I137))/6, AND(Z$24-$I137 =6,NOT(_xlfn.IFNA(ISNUMBER(SEARCH("Rending",$L137)),FALSE))), (7-(Z$24-$I137))/6, AND(Z$24-$I137 &gt;=7,NOT(_xlfn.IFNA(ISNUMBER(SEARCH("Rending",$L137)),FALSE))), 0, Z$24-$I137 =7, (7-(Z$24-1-$I137))/6, Z$24-$I137 =8, (7-(Z$24-2-$I137))/6*2/3, Z$24-$I137 =9, (7-(Z$24-3-$I137))/6*1/3, TRUE, 0)) *
IF(ISNUMBER(SEARCH("Ordinance",$L137)),7/6,1) *
IF(OR(ISNUMBER(SEARCH("Melee",$L137)),ISNUMBER(SEARCH("Bypass",$L137))),1.5,1)</f>
        <v>0</v>
      </c>
      <c r="AA137" s="17" cm="1">
        <f t="array" ref="AA137">$H137 *
IF(ISNUMBER(SEARCH("Rapid",$L137)),7/6,1) *
IF(OR(ISNUMBER(SEARCH("Beam",$L137)),ISNUMBER(SEARCH("Firestorm",$L137))),1, IF(ISNUMBER(SEARCH("Blast",$L137)),(4+$F137+(2-$F137)*0.5)/6*2,(4+$F137)/6)) *
IF(ISNUMBER(SEARCH("Fusion",$L137)), _xlfn.IFS(AA$24-$I137 &lt;=1, 9/10, AA$24-$I137 &lt;=10,(11-(AA$24-$I137))/10, AA$24-$I137 &gt;=11, 0),
_xlfn.IFS(AA$24-$I137 &lt;=1, 5/6, AA$24-$I137 &lt;=5, (7-(AA$24-$I137))/6, AND(AA$24-$I137 =6,NOT(_xlfn.IFNA(ISNUMBER(SEARCH("Rending",$L137)),FALSE))), (7-(AA$24-$I137))/6, AND(AA$24-$I137 &gt;=7,NOT(_xlfn.IFNA(ISNUMBER(SEARCH("Rending",$L137)),FALSE))), 0, AA$24-$I137 =7, (7-(AA$24-1-$I137))/6, AA$24-$I137 =8, (7-(AA$24-2-$I137))/6*2/3, AA$24-$I137 =9, (7-(AA$24-3-$I137))/6*1/3, TRUE, 0)) *
IF(ISNUMBER(SEARCH("Ordinance",$L137)),7/6,1) *
IF(OR(ISNUMBER(SEARCH("Melee",$L137)),ISNUMBER(SEARCH("Bypass",$L137))),1.5,1)</f>
        <v>0</v>
      </c>
      <c r="AB137" s="17" cm="1">
        <f t="array" ref="AB137">$H137 *
IF(ISNUMBER(SEARCH("Rapid",$L137)),7/6,1) *
IF(OR(ISNUMBER(SEARCH("Beam",$L137)),ISNUMBER(SEARCH("Firestorm",$L137))),1, IF(ISNUMBER(SEARCH("Blast",$L137)),(4+$F137+(2-$F137)*0.5)/6*2,(4+$F137)/6)) *
IF(ISNUMBER(SEARCH("Fusion",$L137)), _xlfn.IFS(AB$24-$I137 &lt;=1, 9/10, AB$24-$I137 &lt;=10,(11-(AB$24-$I137))/10, AB$24-$I137 &gt;=11, 0),
_xlfn.IFS(AB$24-$I137 &lt;=1, 5/6, AB$24-$I137 &lt;=5, (7-(AB$24-$I137))/6, AND(AB$24-$I137 =6,NOT(_xlfn.IFNA(ISNUMBER(SEARCH("Rending",$L137)),FALSE))), (7-(AB$24-$I137))/6, AND(AB$24-$I137 &gt;=7,NOT(_xlfn.IFNA(ISNUMBER(SEARCH("Rending",$L137)),FALSE))), 0, AB$24-$I137 =7, (7-(AB$24-1-$I137))/6, AB$24-$I137 =8, (7-(AB$24-2-$I137))/6*2/3, AB$24-$I137 =9, (7-(AB$24-3-$I137))/6*1/3, TRUE, 0)) *
IF(ISNUMBER(SEARCH("Ordinance",$L137)),7/6,1) *
IF(OR(ISNUMBER(SEARCH("Melee",$L137)),ISNUMBER(SEARCH("Bypass",$L137))),1.5,1)</f>
        <v>0</v>
      </c>
      <c r="AC137" s="17" cm="1">
        <f t="array" ref="AC137">$H137 *
IF(ISNUMBER(SEARCH("Rapid",$L137)),7/6,1) *
IF(OR(ISNUMBER(SEARCH("Beam",$L137)),ISNUMBER(SEARCH("Firestorm",$L137))),1, IF(ISNUMBER(SEARCH("Blast",$L137)),(4+$F137+(2-$F137)*0.5)/6*2,(4+$F137)/6)) *
IF(ISNUMBER(SEARCH("Fusion",$L137)), _xlfn.IFS(AC$24-$I137 &lt;=1, 9/10, AC$24-$I137 &lt;=10,(11-(AC$24-$I137))/10, AC$24-$I137 &gt;=11, 0),
_xlfn.IFS(AC$24-$I137 &lt;=1, 5/6, AC$24-$I137 &lt;=5, (7-(AC$24-$I137))/6, AND(AC$24-$I137 =6,NOT(_xlfn.IFNA(ISNUMBER(SEARCH("Rending",$L137)),FALSE))), (7-(AC$24-$I137))/6, AND(AC$24-$I137 &gt;=7,NOT(_xlfn.IFNA(ISNUMBER(SEARCH("Rending",$L137)),FALSE))), 0, AC$24-$I137 =7, (7-(AC$24-1-$I137))/6, AC$24-$I137 =8, (7-(AC$24-2-$I137))/6*2/3, AC$24-$I137 =9, (7-(AC$24-3-$I137))/6*1/3, TRUE, 0)) *
IF(ISNUMBER(SEARCH("Ordinance",$L137)),7/6,1) *
IF(OR(ISNUMBER(SEARCH("Melee",$L137)),ISNUMBER(SEARCH("Bypass",$L137))),1.5,1)</f>
        <v>0</v>
      </c>
      <c r="AD137" s="17" cm="1">
        <f t="array" ref="AD137">$H137 *
IF(ISNUMBER(SEARCH("Rapid",$L137)),7/6,1) *
IF(OR(ISNUMBER(SEARCH("Beam",$L137)),ISNUMBER(SEARCH("Firestorm",$L137))),1, IF(ISNUMBER(SEARCH("Blast",$L137)),(4+$F137+(2-$F137)*0.5)/6*2,(4+$F137)/6)) *
IF(ISNUMBER(SEARCH("Fusion",$L137)), _xlfn.IFS(AD$24-$I137 &lt;=1, 9/10, AD$24-$I137 &lt;=10,(11-(AD$24-$I137))/10, AD$24-$I137 &gt;=11, 0),
_xlfn.IFS(AD$24-$I137 &lt;=1, 5/6, AD$24-$I137 &lt;=5, (7-(AD$24-$I137))/6, AND(AD$24-$I137 =6,NOT(_xlfn.IFNA(ISNUMBER(SEARCH("Rending",$L137)),FALSE))), (7-(AD$24-$I137))/6, AND(AD$24-$I137 &gt;=7,NOT(_xlfn.IFNA(ISNUMBER(SEARCH("Rending",$L137)),FALSE))), 0, AD$24-$I137 =7, (7-(AD$24-1-$I137))/6, AD$24-$I137 =8, (7-(AD$24-2-$I137))/6*2/3, AD$24-$I137 =9, (7-(AD$24-3-$I137))/6*1/3, TRUE, 0)) *
IF(ISNUMBER(SEARCH("Ordinance",$L137)),7/6,1) *
IF(OR(ISNUMBER(SEARCH("Melee",$L137)),ISNUMBER(SEARCH("Bypass",$L137))),1.5,1)</f>
        <v>0</v>
      </c>
      <c r="AE137" s="17" cm="1">
        <f t="array" ref="AE137">$H137 *
IF(ISNUMBER(SEARCH("Rapid",$L137)),7/6,1) *
IF(OR(ISNUMBER(SEARCH("Beam",$L137)),ISNUMBER(SEARCH("Firestorm",$L137))),1, IF(ISNUMBER(SEARCH("Blast",$L137)),(4+$F137+(2-$F137)*0.5)/6*2,(4+$F137)/6)) *
IF(ISNUMBER(SEARCH("Fusion",$L137)), _xlfn.IFS(AE$24-$I137 &lt;=1, 9/10, AE$24-$I137 &lt;=10,(11-(AE$24-$I137))/10, AE$24-$I137 &gt;=11, 0),
_xlfn.IFS(AE$24-$I137 &lt;=1, 5/6, AE$24-$I137 &lt;=5, (7-(AE$24-$I137))/6, AND(AE$24-$I137 =6,NOT(_xlfn.IFNA(ISNUMBER(SEARCH("Rending",$L137)),FALSE))), (7-(AE$24-$I137))/6, AND(AE$24-$I137 &gt;=7,NOT(_xlfn.IFNA(ISNUMBER(SEARCH("Rending",$L137)),FALSE))), 0, AE$24-$I137 =7, (7-(AE$24-1-$I137))/6, AE$24-$I137 =8, (7-(AE$24-2-$I137))/6*2/3, AE$24-$I137 =9, (7-(AE$24-3-$I137))/6*1/3, TRUE, 0)) *
IF(ISNUMBER(SEARCH("Ordinance",$L137)),7/6,1) *
IF(OR(ISNUMBER(SEARCH("Melee",$L137)),ISNUMBER(SEARCH("Bypass",$L137))),1.5,1)</f>
        <v>0</v>
      </c>
      <c r="AF137" s="17" cm="1">
        <f t="array" ref="AF137">$H137 *
IF(ISNUMBER(SEARCH("Rapid",$L137)),7/6,1) *
IF(OR(ISNUMBER(SEARCH("Beam",$L137)),ISNUMBER(SEARCH("Firestorm",$L137))),1, IF(ISNUMBER(SEARCH("Blast",$L137)),(4+$F137+(2-$F137)*0.5)/6*2,(4+$F137)/6)) *
IF(ISNUMBER(SEARCH("Fusion",$L137)), _xlfn.IFS(AF$24-$I137 &lt;=1, 9/10, AF$24-$I137 &lt;=10,(11-(AF$24-$I137))/10, AF$24-$I137 &gt;=11, 0),
_xlfn.IFS(AF$24-$I137 &lt;=1, 5/6, AF$24-$I137 &lt;=5, (7-(AF$24-$I137))/6, AND(AF$24-$I137 =6,NOT(_xlfn.IFNA(ISNUMBER(SEARCH("Rending",$L137)),FALSE))), (7-(AF$24-$I137))/6, AND(AF$24-$I137 &gt;=7,NOT(_xlfn.IFNA(ISNUMBER(SEARCH("Rending",$L137)),FALSE))), 0, AF$24-$I137 =7, (7-(AF$24-1-$I137))/6, AF$24-$I137 =8, (7-(AF$24-2-$I137))/6*2/3, AF$24-$I137 =9, (7-(AF$24-3-$I137))/6*1/3, TRUE, 0)) *
IF(ISNUMBER(SEARCH("Ordinance",$L137)),7/6,1) *
IF(OR(ISNUMBER(SEARCH("Melee",$L137)),ISNUMBER(SEARCH("Bypass",$L137))),1.5,1)</f>
        <v>0</v>
      </c>
      <c r="AG137" s="16">
        <f t="shared" si="35"/>
        <v>0</v>
      </c>
      <c r="AH137" s="16">
        <f t="shared" si="36"/>
        <v>0</v>
      </c>
      <c r="AI137" s="17" cm="1">
        <f t="array" ref="AI137">$H137 *
IF(ISNUMBER(SEARCH("Rapid",$L137)),7/6,1) *
IF(OR(ISNUMBER(SEARCH("Beam",$L137)),ISNUMBER(SEARCH("Firestorm",$L137))),1, IF(ISNUMBER(SEARCH("Blast",$L137)),(4+$G137+(2-$G137)*0.5)/6*2,(4+$G137)/6)) *
_xlfn.IFS(AI$24-$I137 &lt;=1, 5/6, AI$24-$I137 &lt;=5, (7-(AI$24-$I137))/6, AND(AI$24-$I137 =6,NOT(_xlfn.IFNA(ISNUMBER(SEARCH("Rending",$L137)),FALSE))), (7-(AI$24-$I137))/6, AND(AI$24-$I137 &gt;=7,NOT(_xlfn.IFNA(ISNUMBER(SEARCH("Rending",$L137)),FALSE))), 0, AI$24-$I137 =7, (7-(AI$24-1-$I137))/6, AI$24-$I137 =8, (7-(AI$24-2-$I137))/6*2/3, AI$24-$I137 =9, (7-(AI$24-3-$I137))/6*1/3, TRUE, 0) *
IF(ISNUMBER(SEARCH("Ordinance",$L137)),7/6,1) *
IF(OR(ISNUMBER(SEARCH("Melee",$L137)),ISNUMBER(SEARCH("Bypass",$L137))),1.5,1)</f>
        <v>0</v>
      </c>
      <c r="AJ137" s="17" cm="1">
        <f t="array" ref="AJ137">$H137 *
IF(ISNUMBER(SEARCH("Rapid",$L137)),7/6,1) *
IF(OR(ISNUMBER(SEARCH("Beam",$L137)),ISNUMBER(SEARCH("Firestorm",$L137))),1, IF(ISNUMBER(SEARCH("Blast",$L137)),(4+$G137+(2-$G137)*0.5)/6*2,(4+$G137)/6)) *
_xlfn.IFS(AJ$24-$I137 &lt;=1, 5/6, AJ$24-$I137 &lt;=5, (7-(AJ$24-$I137))/6, AND(AJ$24-$I137 =6,NOT(_xlfn.IFNA(ISNUMBER(SEARCH("Rending",$L137)),FALSE))), (7-(AJ$24-$I137))/6, AND(AJ$24-$I137 &gt;=7,NOT(_xlfn.IFNA(ISNUMBER(SEARCH("Rending",$L137)),FALSE))), 0, AJ$24-$I137 =7, (7-(AJ$24-1-$I137))/6, AJ$24-$I137 =8, (7-(AJ$24-2-$I137))/6*2/3, AJ$24-$I137 =9, (7-(AJ$24-3-$I137))/6*1/3, TRUE, 0) *
IF(ISNUMBER(SEARCH("Ordinance",$L137)),7/6,1) *
IF(OR(ISNUMBER(SEARCH("Melee",$L137)),ISNUMBER(SEARCH("Bypass",$L137))),1.5,1)</f>
        <v>0</v>
      </c>
      <c r="AK137" s="17" cm="1">
        <f t="array" ref="AK137">$H137 *
IF(ISNUMBER(SEARCH("Rapid",$L137)),7/6,1) *
IF(OR(ISNUMBER(SEARCH("Beam",$L137)),ISNUMBER(SEARCH("Firestorm",$L137))),1, IF(ISNUMBER(SEARCH("Blast",$L137)),(4+$G137+(2-$G137)*0.5)/6*2,(4+$G137)/6)) *
_xlfn.IFS(AK$24-$I137 &lt;=1, 5/6, AK$24-$I137 &lt;=5, (7-(AK$24-$I137))/6, AND(AK$24-$I137 =6,NOT(_xlfn.IFNA(ISNUMBER(SEARCH("Rending",$L137)),FALSE))), (7-(AK$24-$I137))/6, AND(AK$24-$I137 &gt;=7,NOT(_xlfn.IFNA(ISNUMBER(SEARCH("Rending",$L137)),FALSE))), 0, AK$24-$I137 =7, (7-(AK$24-1-$I137))/6, AK$24-$I137 =8, (7-(AK$24-2-$I137))/6*2/3, AK$24-$I137 =9, (7-(AK$24-3-$I137))/6*1/3, TRUE, 0) *
IF(ISNUMBER(SEARCH("Ordinance",$L137)),7/6,1) *
IF(OR(ISNUMBER(SEARCH("Melee",$L137)),ISNUMBER(SEARCH("Bypass",$L137))),1.5,1)</f>
        <v>0</v>
      </c>
      <c r="AL137" s="17" cm="1">
        <f t="array" ref="AL137">$H137 *
IF(ISNUMBER(SEARCH("Rapid",$L137)),7/6,1) *
IF(OR(ISNUMBER(SEARCH("Beam",$L137)),ISNUMBER(SEARCH("Firestorm",$L137))),1, IF(ISNUMBER(SEARCH("Blast",$L137)),(4+$G137+(2-$G137)*0.5)/6*2,(4+$G137)/6)) *
_xlfn.IFS(AL$24-$I137 &lt;=1, 5/6, AL$24-$I137 &lt;=5, (7-(AL$24-$I137))/6, AND(AL$24-$I137 =6,NOT(_xlfn.IFNA(ISNUMBER(SEARCH("Rending",$L137)),FALSE))), (7-(AL$24-$I137))/6, AND(AL$24-$I137 &gt;=7,NOT(_xlfn.IFNA(ISNUMBER(SEARCH("Rending",$L137)),FALSE))), 0, AL$24-$I137 =7, (7-(AL$24-1-$I137))/6, AL$24-$I137 =8, (7-(AL$24-2-$I137))/6*2/3, AL$24-$I137 =9, (7-(AL$24-3-$I137))/6*1/3, TRUE, 0) *
IF(ISNUMBER(SEARCH("Ordinance",$L137)),7/6,1) *
IF(OR(ISNUMBER(SEARCH("Melee",$L137)),ISNUMBER(SEARCH("Bypass",$L137))),1.5,1)</f>
        <v>0</v>
      </c>
      <c r="AM137" s="17" cm="1">
        <f t="array" ref="AM137">$H137 *
IF(ISNUMBER(SEARCH("Rapid",$L137)),7/6,1) *
IF(OR(ISNUMBER(SEARCH("Beam",$L137)),ISNUMBER(SEARCH("Firestorm",$L137))),1, IF(ISNUMBER(SEARCH("Blast",$L137)),(4+$G137+(2-$G137)*0.5)/6*2,(4+$G137)/6)) *
_xlfn.IFS(AM$24-$I137 &lt;=1, 5/6, AM$24-$I137 &lt;=5, (7-(AM$24-$I137))/6, AND(AM$24-$I137 =6,NOT(_xlfn.IFNA(ISNUMBER(SEARCH("Rending",$L137)),FALSE))), (7-(AM$24-$I137))/6, AND(AM$24-$I137 &gt;=7,NOT(_xlfn.IFNA(ISNUMBER(SEARCH("Rending",$L137)),FALSE))), 0, AM$24-$I137 =7, (7-(AM$24-1-$I137))/6, AM$24-$I137 =8, (7-(AM$24-2-$I137))/6*2/3, AM$24-$I137 =9, (7-(AM$24-3-$I137))/6*1/3, TRUE, 0) *
IF(ISNUMBER(SEARCH("Ordinance",$L137)),7/6,1) *
IF(OR(ISNUMBER(SEARCH("Melee",$L137)),ISNUMBER(SEARCH("Bypass",$L137))),1.5,1)</f>
        <v>0</v>
      </c>
      <c r="AN137" s="17" cm="1">
        <f t="array" ref="AN137">$H137 *
IF(ISNUMBER(SEARCH("Rapid",$L137)),7/6,1) *
IF(OR(ISNUMBER(SEARCH("Beam",$L137)),ISNUMBER(SEARCH("Firestorm",$L137))),1, IF(ISNUMBER(SEARCH("Blast",$L137)),(4+$G137+(2-$G137)*0.5)/6*2,(4+$G137)/6)) *
_xlfn.IFS(AN$24-$I137 &lt;=1, 5/6, AN$24-$I137 &lt;=5, (7-(AN$24-$I137))/6, AND(AN$24-$I137 =6,NOT(_xlfn.IFNA(ISNUMBER(SEARCH("Rending",$L137)),FALSE))), (7-(AN$24-$I137))/6, AND(AN$24-$I137 &gt;=7,NOT(_xlfn.IFNA(ISNUMBER(SEARCH("Rending",$L137)),FALSE))), 0, AN$24-$I137 =7, (7-(AN$24-1-$I137))/6, AN$24-$I137 =8, (7-(AN$24-2-$I137))/6*2/3, AN$24-$I137 =9, (7-(AN$24-3-$I137))/6*1/3, TRUE, 0) *
IF(ISNUMBER(SEARCH("Ordinance",$L137)),7/6,1) *
IF(OR(ISNUMBER(SEARCH("Melee",$L137)),ISNUMBER(SEARCH("Bypass",$L137))),1.5,1)</f>
        <v>0</v>
      </c>
      <c r="AO137" s="17" cm="1">
        <f t="array" ref="AO137">$H137 *
IF(ISNUMBER(SEARCH("Rapid",$L137)),7/6,1) *
IF(OR(ISNUMBER(SEARCH("Beam",$L137)),ISNUMBER(SEARCH("Firestorm",$L137))),1, IF(ISNUMBER(SEARCH("Blast",$L137)),(4+$G137+(2-$G137)*0.5)/6*2,(4+$G137)/6)) *
_xlfn.IFS(AO$24-$I137 &lt;=1, 5/6, AO$24-$I137 &lt;=5, (7-(AO$24-$I137))/6, AND(AO$24-$I137 =6,NOT(_xlfn.IFNA(ISNUMBER(SEARCH("Rending",$L137)),FALSE))), (7-(AO$24-$I137))/6, AND(AO$24-$I137 &gt;=7,NOT(_xlfn.IFNA(ISNUMBER(SEARCH("Rending",$L137)),FALSE))), 0, AO$24-$I137 =7, (7-(AO$24-1-$I137))/6, AO$24-$I137 =8, (7-(AO$24-2-$I137))/6*2/3, AO$24-$I137 =9, (7-(AO$24-3-$I137))/6*1/3, TRUE, 0) *
IF(ISNUMBER(SEARCH("Ordinance",$L137)),7/6,1) *
IF(OR(ISNUMBER(SEARCH("Melee",$L137)),ISNUMBER(SEARCH("Bypass",$L137))),1.5,1)</f>
        <v>0</v>
      </c>
      <c r="AP137" s="17" cm="1">
        <f t="array" ref="AP137">$H137 *
IF(ISNUMBER(SEARCH("Rapid",$L137)),7/6,1) *
IF(OR(ISNUMBER(SEARCH("Beam",$L137)),ISNUMBER(SEARCH("Firestorm",$L137))),1, IF(ISNUMBER(SEARCH("Blast",$L137)),(4+$G137+(2-$G137)*0.5)/6*2,(4+$G137)/6)) *
_xlfn.IFS(AP$24-$I137 &lt;=1, 5/6, AP$24-$I137 &lt;=5, (7-(AP$24-$I137))/6, AND(AP$24-$I137 =6,NOT(_xlfn.IFNA(ISNUMBER(SEARCH("Rending",$L137)),FALSE))), (7-(AP$24-$I137))/6, AND(AP$24-$I137 &gt;=7,NOT(_xlfn.IFNA(ISNUMBER(SEARCH("Rending",$L137)),FALSE))), 0, AP$24-$I137 =7, (7-(AP$24-1-$I137))/6, AP$24-$I137 =8, (7-(AP$24-2-$I137))/6*2/3, AP$24-$I137 =9, (7-(AP$24-3-$I137))/6*1/3, TRUE, 0) *
IF(ISNUMBER(SEARCH("Ordinance",$L137)),7/6,1) *
IF(OR(ISNUMBER(SEARCH("Melee",$L137)),ISNUMBER(SEARCH("Bypass",$L137))),1.5,1)</f>
        <v>0</v>
      </c>
      <c r="AQ137" s="17" cm="1">
        <f t="array" ref="AQ137">$H137 *
IF(ISNUMBER(SEARCH("Rapid",$L137)),7/6,1) *
IF(OR(ISNUMBER(SEARCH("Beam",$L137)),ISNUMBER(SEARCH("Firestorm",$L137))),1, IF(ISNUMBER(SEARCH("Blast",$L137)),(4+$G137+(2-$G137)*0.5)/6*2,(4+$G137)/6)) *
_xlfn.IFS(AQ$24-$I137 &lt;=1, 5/6, AQ$24-$I137 &lt;=5, (7-(AQ$24-$I137))/6, AND(AQ$24-$I137 =6,NOT(_xlfn.IFNA(ISNUMBER(SEARCH("Rending",$L137)),FALSE))), (7-(AQ$24-$I137))/6, AND(AQ$24-$I137 &gt;=7,NOT(_xlfn.IFNA(ISNUMBER(SEARCH("Rending",$L137)),FALSE))), 0, AQ$24-$I137 =7, (7-(AQ$24-1-$I137))/6, AQ$24-$I137 =8, (7-(AQ$24-2-$I137))/6*2/3, AQ$24-$I137 =9, (7-(AQ$24-3-$I137))/6*1/3, TRUE, 0) *
IF(ISNUMBER(SEARCH("Ordinance",$L137)),7/6,1) *
IF(OR(ISNUMBER(SEARCH("Melee",$L137)),ISNUMBER(SEARCH("Bypass",$L137))),1.5,1)</f>
        <v>0</v>
      </c>
    </row>
    <row r="138" spans="1:48" x14ac:dyDescent="0.3">
      <c r="A138" t="s">
        <v>564</v>
      </c>
      <c r="B138" s="3">
        <v>4</v>
      </c>
      <c r="D138" s="3">
        <v>1</v>
      </c>
      <c r="F138" s="10">
        <v>1</v>
      </c>
      <c r="G138" s="10"/>
      <c r="H138" s="3">
        <v>4</v>
      </c>
      <c r="I138" s="3">
        <v>10</v>
      </c>
      <c r="J138" s="3" t="s">
        <v>567</v>
      </c>
      <c r="K138" s="3">
        <v>50</v>
      </c>
      <c r="L138" s="3" t="s">
        <v>568</v>
      </c>
      <c r="M138" s="3" t="s">
        <v>199</v>
      </c>
      <c r="N138" s="3">
        <v>12</v>
      </c>
      <c r="O138" s="3">
        <v>12</v>
      </c>
      <c r="P138" s="3">
        <v>16</v>
      </c>
      <c r="Q138" s="3" t="s">
        <v>200</v>
      </c>
      <c r="R138" s="3">
        <v>7</v>
      </c>
      <c r="S138" s="3">
        <v>9</v>
      </c>
      <c r="T138" s="3">
        <v>2</v>
      </c>
      <c r="V138" s="16">
        <f t="shared" si="33"/>
        <v>0</v>
      </c>
      <c r="W138" s="16">
        <f t="shared" si="34"/>
        <v>0</v>
      </c>
      <c r="X138" s="17" cm="1">
        <f t="array" ref="X138">$H138 *
IF(ISNUMBER(SEARCH("Rapid",$L138)),7/6,1) *
IF(OR(ISNUMBER(SEARCH("Beam",$L138)),ISNUMBER(SEARCH("Firestorm",$L138))),1, IF(ISNUMBER(SEARCH("Blast",$L138)),(4+$F138+(2-$F138)*0.5)/6*2,(4+$F138)/6)) *
IF(ISNUMBER(SEARCH("Fusion",$L138)), _xlfn.IFS(X$24-$I138 &lt;=1, 9/10, X$24-$I138 &lt;=10,(11-(X$24-$I138))/10, X$24-$I138 &gt;=11, 0),
_xlfn.IFS(X$24-$I138 &lt;=1, 5/6, X$24-$I138 &lt;=5, (7-(X$24-$I138))/6, AND(X$24-$I138 =6,NOT(_xlfn.IFNA(ISNUMBER(SEARCH("Rending",$L138)),FALSE))), (7-(X$24-$I138))/6, AND(X$24-$I138 &gt;=7,NOT(_xlfn.IFNA(ISNUMBER(SEARCH("Rending",$L138)),FALSE))), 0, X$24-$I138 =7, (7-(X$24-1-$I138))/6, X$24-$I138 =8, (7-(X$24-2-$I138))/6*2/3, X$24-$I138 =9, (7-(X$24-3-$I138))/6*1/3, TRUE, 0)) *
IF(ISNUMBER(SEARCH("Ordinance",$L138)),7/6,1) *
IF(OR(ISNUMBER(SEARCH("Melee",$L138)),ISNUMBER(SEARCH("Bypass",$L138))),1.5,1)</f>
        <v>4.166666666666667</v>
      </c>
      <c r="Y138" s="17" cm="1">
        <f t="array" ref="Y138">$H138 *
IF(ISNUMBER(SEARCH("Rapid",$L138)),7/6,1) *
IF(OR(ISNUMBER(SEARCH("Beam",$L138)),ISNUMBER(SEARCH("Firestorm",$L138))),1, IF(ISNUMBER(SEARCH("Blast",$L138)),(4+$F138+(2-$F138)*0.5)/6*2,(4+$F138)/6)) *
IF(ISNUMBER(SEARCH("Fusion",$L138)), _xlfn.IFS(Y$24-$I138 &lt;=1, 9/10, Y$24-$I138 &lt;=10,(11-(Y$24-$I138))/10, Y$24-$I138 &gt;=11, 0),
_xlfn.IFS(Y$24-$I138 &lt;=1, 5/6, Y$24-$I138 &lt;=5, (7-(Y$24-$I138))/6, AND(Y$24-$I138 =6,NOT(_xlfn.IFNA(ISNUMBER(SEARCH("Rending",$L138)),FALSE))), (7-(Y$24-$I138))/6, AND(Y$24-$I138 &gt;=7,NOT(_xlfn.IFNA(ISNUMBER(SEARCH("Rending",$L138)),FALSE))), 0, Y$24-$I138 =7, (7-(Y$24-1-$I138))/6, Y$24-$I138 =8, (7-(Y$24-2-$I138))/6*2/3, Y$24-$I138 =9, (7-(Y$24-3-$I138))/6*1/3, TRUE, 0)) *
IF(ISNUMBER(SEARCH("Ordinance",$L138)),7/6,1) *
IF(OR(ISNUMBER(SEARCH("Melee",$L138)),ISNUMBER(SEARCH("Bypass",$L138))),1.5,1)</f>
        <v>4.166666666666667</v>
      </c>
      <c r="Z138" s="17" cm="1">
        <f t="array" ref="Z138">$H138 *
IF(ISNUMBER(SEARCH("Rapid",$L138)),7/6,1) *
IF(OR(ISNUMBER(SEARCH("Beam",$L138)),ISNUMBER(SEARCH("Firestorm",$L138))),1, IF(ISNUMBER(SEARCH("Blast",$L138)),(4+$F138+(2-$F138)*0.5)/6*2,(4+$F138)/6)) *
IF(ISNUMBER(SEARCH("Fusion",$L138)), _xlfn.IFS(Z$24-$I138 &lt;=1, 9/10, Z$24-$I138 &lt;=10,(11-(Z$24-$I138))/10, Z$24-$I138 &gt;=11, 0),
_xlfn.IFS(Z$24-$I138 &lt;=1, 5/6, Z$24-$I138 &lt;=5, (7-(Z$24-$I138))/6, AND(Z$24-$I138 =6,NOT(_xlfn.IFNA(ISNUMBER(SEARCH("Rending",$L138)),FALSE))), (7-(Z$24-$I138))/6, AND(Z$24-$I138 &gt;=7,NOT(_xlfn.IFNA(ISNUMBER(SEARCH("Rending",$L138)),FALSE))), 0, Z$24-$I138 =7, (7-(Z$24-1-$I138))/6, Z$24-$I138 =8, (7-(Z$24-2-$I138))/6*2/3, Z$24-$I138 =9, (7-(Z$24-3-$I138))/6*1/3, TRUE, 0)) *
IF(ISNUMBER(SEARCH("Ordinance",$L138)),7/6,1) *
IF(OR(ISNUMBER(SEARCH("Melee",$L138)),ISNUMBER(SEARCH("Bypass",$L138))),1.5,1)</f>
        <v>4.166666666666667</v>
      </c>
      <c r="AA138" s="17" cm="1">
        <f t="array" ref="AA138">$H138 *
IF(ISNUMBER(SEARCH("Rapid",$L138)),7/6,1) *
IF(OR(ISNUMBER(SEARCH("Beam",$L138)),ISNUMBER(SEARCH("Firestorm",$L138))),1, IF(ISNUMBER(SEARCH("Blast",$L138)),(4+$F138+(2-$F138)*0.5)/6*2,(4+$F138)/6)) *
IF(ISNUMBER(SEARCH("Fusion",$L138)), _xlfn.IFS(AA$24-$I138 &lt;=1, 9/10, AA$24-$I138 &lt;=10,(11-(AA$24-$I138))/10, AA$24-$I138 &gt;=11, 0),
_xlfn.IFS(AA$24-$I138 &lt;=1, 5/6, AA$24-$I138 &lt;=5, (7-(AA$24-$I138))/6, AND(AA$24-$I138 =6,NOT(_xlfn.IFNA(ISNUMBER(SEARCH("Rending",$L138)),FALSE))), (7-(AA$24-$I138))/6, AND(AA$24-$I138 &gt;=7,NOT(_xlfn.IFNA(ISNUMBER(SEARCH("Rending",$L138)),FALSE))), 0, AA$24-$I138 =7, (7-(AA$24-1-$I138))/6, AA$24-$I138 =8, (7-(AA$24-2-$I138))/6*2/3, AA$24-$I138 =9, (7-(AA$24-3-$I138))/6*1/3, TRUE, 0)) *
IF(ISNUMBER(SEARCH("Ordinance",$L138)),7/6,1) *
IF(OR(ISNUMBER(SEARCH("Melee",$L138)),ISNUMBER(SEARCH("Bypass",$L138))),1.5,1)</f>
        <v>4.166666666666667</v>
      </c>
      <c r="AB138" s="17" cm="1">
        <f t="array" ref="AB138">$H138 *
IF(ISNUMBER(SEARCH("Rapid",$L138)),7/6,1) *
IF(OR(ISNUMBER(SEARCH("Beam",$L138)),ISNUMBER(SEARCH("Firestorm",$L138))),1, IF(ISNUMBER(SEARCH("Blast",$L138)),(4+$F138+(2-$F138)*0.5)/6*2,(4+$F138)/6)) *
IF(ISNUMBER(SEARCH("Fusion",$L138)), _xlfn.IFS(AB$24-$I138 &lt;=1, 9/10, AB$24-$I138 &lt;=10,(11-(AB$24-$I138))/10, AB$24-$I138 &gt;=11, 0),
_xlfn.IFS(AB$24-$I138 &lt;=1, 5/6, AB$24-$I138 &lt;=5, (7-(AB$24-$I138))/6, AND(AB$24-$I138 =6,NOT(_xlfn.IFNA(ISNUMBER(SEARCH("Rending",$L138)),FALSE))), (7-(AB$24-$I138))/6, AND(AB$24-$I138 &gt;=7,NOT(_xlfn.IFNA(ISNUMBER(SEARCH("Rending",$L138)),FALSE))), 0, AB$24-$I138 =7, (7-(AB$24-1-$I138))/6, AB$24-$I138 =8, (7-(AB$24-2-$I138))/6*2/3, AB$24-$I138 =9, (7-(AB$24-3-$I138))/6*1/3, TRUE, 0)) *
IF(ISNUMBER(SEARCH("Ordinance",$L138)),7/6,1) *
IF(OR(ISNUMBER(SEARCH("Melee",$L138)),ISNUMBER(SEARCH("Bypass",$L138))),1.5,1)</f>
        <v>3.3333333333333335</v>
      </c>
      <c r="AC138" s="17" cm="1">
        <f t="array" ref="AC138">$H138 *
IF(ISNUMBER(SEARCH("Rapid",$L138)),7/6,1) *
IF(OR(ISNUMBER(SEARCH("Beam",$L138)),ISNUMBER(SEARCH("Firestorm",$L138))),1, IF(ISNUMBER(SEARCH("Blast",$L138)),(4+$F138+(2-$F138)*0.5)/6*2,(4+$F138)/6)) *
IF(ISNUMBER(SEARCH("Fusion",$L138)), _xlfn.IFS(AC$24-$I138 &lt;=1, 9/10, AC$24-$I138 &lt;=10,(11-(AC$24-$I138))/10, AC$24-$I138 &gt;=11, 0),
_xlfn.IFS(AC$24-$I138 &lt;=1, 5/6, AC$24-$I138 &lt;=5, (7-(AC$24-$I138))/6, AND(AC$24-$I138 =6,NOT(_xlfn.IFNA(ISNUMBER(SEARCH("Rending",$L138)),FALSE))), (7-(AC$24-$I138))/6, AND(AC$24-$I138 &gt;=7,NOT(_xlfn.IFNA(ISNUMBER(SEARCH("Rending",$L138)),FALSE))), 0, AC$24-$I138 =7, (7-(AC$24-1-$I138))/6, AC$24-$I138 =8, (7-(AC$24-2-$I138))/6*2/3, AC$24-$I138 =9, (7-(AC$24-3-$I138))/6*1/3, TRUE, 0)) *
IF(ISNUMBER(SEARCH("Ordinance",$L138)),7/6,1) *
IF(OR(ISNUMBER(SEARCH("Melee",$L138)),ISNUMBER(SEARCH("Bypass",$L138))),1.5,1)</f>
        <v>2.5</v>
      </c>
      <c r="AD138" s="17" cm="1">
        <f t="array" ref="AD138">$H138 *
IF(ISNUMBER(SEARCH("Rapid",$L138)),7/6,1) *
IF(OR(ISNUMBER(SEARCH("Beam",$L138)),ISNUMBER(SEARCH("Firestorm",$L138))),1, IF(ISNUMBER(SEARCH("Blast",$L138)),(4+$F138+(2-$F138)*0.5)/6*2,(4+$F138)/6)) *
IF(ISNUMBER(SEARCH("Fusion",$L138)), _xlfn.IFS(AD$24-$I138 &lt;=1, 9/10, AD$24-$I138 &lt;=10,(11-(AD$24-$I138))/10, AD$24-$I138 &gt;=11, 0),
_xlfn.IFS(AD$24-$I138 &lt;=1, 5/6, AD$24-$I138 &lt;=5, (7-(AD$24-$I138))/6, AND(AD$24-$I138 =6,NOT(_xlfn.IFNA(ISNUMBER(SEARCH("Rending",$L138)),FALSE))), (7-(AD$24-$I138))/6, AND(AD$24-$I138 &gt;=7,NOT(_xlfn.IFNA(ISNUMBER(SEARCH("Rending",$L138)),FALSE))), 0, AD$24-$I138 =7, (7-(AD$24-1-$I138))/6, AD$24-$I138 =8, (7-(AD$24-2-$I138))/6*2/3, AD$24-$I138 =9, (7-(AD$24-3-$I138))/6*1/3, TRUE, 0)) *
IF(ISNUMBER(SEARCH("Ordinance",$L138)),7/6,1) *
IF(OR(ISNUMBER(SEARCH("Melee",$L138)),ISNUMBER(SEARCH("Bypass",$L138))),1.5,1)</f>
        <v>1.6666666666666667</v>
      </c>
      <c r="AE138" s="17" cm="1">
        <f t="array" ref="AE138">$H138 *
IF(ISNUMBER(SEARCH("Rapid",$L138)),7/6,1) *
IF(OR(ISNUMBER(SEARCH("Beam",$L138)),ISNUMBER(SEARCH("Firestorm",$L138))),1, IF(ISNUMBER(SEARCH("Blast",$L138)),(4+$F138+(2-$F138)*0.5)/6*2,(4+$F138)/6)) *
IF(ISNUMBER(SEARCH("Fusion",$L138)), _xlfn.IFS(AE$24-$I138 &lt;=1, 9/10, AE$24-$I138 &lt;=10,(11-(AE$24-$I138))/10, AE$24-$I138 &gt;=11, 0),
_xlfn.IFS(AE$24-$I138 &lt;=1, 5/6, AE$24-$I138 &lt;=5, (7-(AE$24-$I138))/6, AND(AE$24-$I138 =6,NOT(_xlfn.IFNA(ISNUMBER(SEARCH("Rending",$L138)),FALSE))), (7-(AE$24-$I138))/6, AND(AE$24-$I138 &gt;=7,NOT(_xlfn.IFNA(ISNUMBER(SEARCH("Rending",$L138)),FALSE))), 0, AE$24-$I138 =7, (7-(AE$24-1-$I138))/6, AE$24-$I138 =8, (7-(AE$24-2-$I138))/6*2/3, AE$24-$I138 =9, (7-(AE$24-3-$I138))/6*1/3, TRUE, 0)) *
IF(ISNUMBER(SEARCH("Ordinance",$L138)),7/6,1) *
IF(OR(ISNUMBER(SEARCH("Melee",$L138)),ISNUMBER(SEARCH("Bypass",$L138))),1.5,1)</f>
        <v>0</v>
      </c>
      <c r="AF138" s="17" cm="1">
        <f t="array" ref="AF138">$H138 *
IF(ISNUMBER(SEARCH("Rapid",$L138)),7/6,1) *
IF(OR(ISNUMBER(SEARCH("Beam",$L138)),ISNUMBER(SEARCH("Firestorm",$L138))),1, IF(ISNUMBER(SEARCH("Blast",$L138)),(4+$F138+(2-$F138)*0.5)/6*2,(4+$F138)/6)) *
IF(ISNUMBER(SEARCH("Fusion",$L138)), _xlfn.IFS(AF$24-$I138 &lt;=1, 9/10, AF$24-$I138 &lt;=10,(11-(AF$24-$I138))/10, AF$24-$I138 &gt;=11, 0),
_xlfn.IFS(AF$24-$I138 &lt;=1, 5/6, AF$24-$I138 &lt;=5, (7-(AF$24-$I138))/6, AND(AF$24-$I138 =6,NOT(_xlfn.IFNA(ISNUMBER(SEARCH("Rending",$L138)),FALSE))), (7-(AF$24-$I138))/6, AND(AF$24-$I138 &gt;=7,NOT(_xlfn.IFNA(ISNUMBER(SEARCH("Rending",$L138)),FALSE))), 0, AF$24-$I138 =7, (7-(AF$24-1-$I138))/6, AF$24-$I138 =8, (7-(AF$24-2-$I138))/6*2/3, AF$24-$I138 =9, (7-(AF$24-3-$I138))/6*1/3, TRUE, 0)) *
IF(ISNUMBER(SEARCH("Ordinance",$L138)),7/6,1) *
IF(OR(ISNUMBER(SEARCH("Melee",$L138)),ISNUMBER(SEARCH("Bypass",$L138))),1.5,1)</f>
        <v>0.83333333333333337</v>
      </c>
      <c r="AG138" s="16">
        <f t="shared" si="35"/>
        <v>0</v>
      </c>
      <c r="AH138" s="16">
        <f t="shared" si="36"/>
        <v>0</v>
      </c>
      <c r="AI138" s="17" cm="1">
        <f t="array" ref="AI138">$H138 *
IF(ISNUMBER(SEARCH("Rapid",$L138)),7/6,1) *
IF(OR(ISNUMBER(SEARCH("Beam",$L138)),ISNUMBER(SEARCH("Firestorm",$L138))),1, IF(ISNUMBER(SEARCH("Blast",$L138)),(4+$G138+(2-$G138)*0.5)/6*2,(4+$G138)/6)) *
_xlfn.IFS(AI$24-$I138 &lt;=1, 5/6, AI$24-$I138 &lt;=5, (7-(AI$24-$I138))/6, AND(AI$24-$I138 =6,NOT(_xlfn.IFNA(ISNUMBER(SEARCH("Rending",$L138)),FALSE))), (7-(AI$24-$I138))/6, AND(AI$24-$I138 &gt;=7,NOT(_xlfn.IFNA(ISNUMBER(SEARCH("Rending",$L138)),FALSE))), 0, AI$24-$I138 =7, (7-(AI$24-1-$I138))/6, AI$24-$I138 =8, (7-(AI$24-2-$I138))/6*2/3, AI$24-$I138 =9, (7-(AI$24-3-$I138))/6*1/3, TRUE, 0) *
IF(ISNUMBER(SEARCH("Ordinance",$L138)),7/6,1) *
IF(OR(ISNUMBER(SEARCH("Melee",$L138)),ISNUMBER(SEARCH("Bypass",$L138))),1.5,1)</f>
        <v>3.3333333333333335</v>
      </c>
      <c r="AJ138" s="17" cm="1">
        <f t="array" ref="AJ138">$H138 *
IF(ISNUMBER(SEARCH("Rapid",$L138)),7/6,1) *
IF(OR(ISNUMBER(SEARCH("Beam",$L138)),ISNUMBER(SEARCH("Firestorm",$L138))),1, IF(ISNUMBER(SEARCH("Blast",$L138)),(4+$G138+(2-$G138)*0.5)/6*2,(4+$G138)/6)) *
_xlfn.IFS(AJ$24-$I138 &lt;=1, 5/6, AJ$24-$I138 &lt;=5, (7-(AJ$24-$I138))/6, AND(AJ$24-$I138 =6,NOT(_xlfn.IFNA(ISNUMBER(SEARCH("Rending",$L138)),FALSE))), (7-(AJ$24-$I138))/6, AND(AJ$24-$I138 &gt;=7,NOT(_xlfn.IFNA(ISNUMBER(SEARCH("Rending",$L138)),FALSE))), 0, AJ$24-$I138 =7, (7-(AJ$24-1-$I138))/6, AJ$24-$I138 =8, (7-(AJ$24-2-$I138))/6*2/3, AJ$24-$I138 =9, (7-(AJ$24-3-$I138))/6*1/3, TRUE, 0) *
IF(ISNUMBER(SEARCH("Ordinance",$L138)),7/6,1) *
IF(OR(ISNUMBER(SEARCH("Melee",$L138)),ISNUMBER(SEARCH("Bypass",$L138))),1.5,1)</f>
        <v>3.3333333333333335</v>
      </c>
      <c r="AK138" s="17" cm="1">
        <f t="array" ref="AK138">$H138 *
IF(ISNUMBER(SEARCH("Rapid",$L138)),7/6,1) *
IF(OR(ISNUMBER(SEARCH("Beam",$L138)),ISNUMBER(SEARCH("Firestorm",$L138))),1, IF(ISNUMBER(SEARCH("Blast",$L138)),(4+$G138+(2-$G138)*0.5)/6*2,(4+$G138)/6)) *
_xlfn.IFS(AK$24-$I138 &lt;=1, 5/6, AK$24-$I138 &lt;=5, (7-(AK$24-$I138))/6, AND(AK$24-$I138 =6,NOT(_xlfn.IFNA(ISNUMBER(SEARCH("Rending",$L138)),FALSE))), (7-(AK$24-$I138))/6, AND(AK$24-$I138 &gt;=7,NOT(_xlfn.IFNA(ISNUMBER(SEARCH("Rending",$L138)),FALSE))), 0, AK$24-$I138 =7, (7-(AK$24-1-$I138))/6, AK$24-$I138 =8, (7-(AK$24-2-$I138))/6*2/3, AK$24-$I138 =9, (7-(AK$24-3-$I138))/6*1/3, TRUE, 0) *
IF(ISNUMBER(SEARCH("Ordinance",$L138)),7/6,1) *
IF(OR(ISNUMBER(SEARCH("Melee",$L138)),ISNUMBER(SEARCH("Bypass",$L138))),1.5,1)</f>
        <v>3.3333333333333335</v>
      </c>
      <c r="AL138" s="17" cm="1">
        <f t="array" ref="AL138">$H138 *
IF(ISNUMBER(SEARCH("Rapid",$L138)),7/6,1) *
IF(OR(ISNUMBER(SEARCH("Beam",$L138)),ISNUMBER(SEARCH("Firestorm",$L138))),1, IF(ISNUMBER(SEARCH("Blast",$L138)),(4+$G138+(2-$G138)*0.5)/6*2,(4+$G138)/6)) *
_xlfn.IFS(AL$24-$I138 &lt;=1, 5/6, AL$24-$I138 &lt;=5, (7-(AL$24-$I138))/6, AND(AL$24-$I138 =6,NOT(_xlfn.IFNA(ISNUMBER(SEARCH("Rending",$L138)),FALSE))), (7-(AL$24-$I138))/6, AND(AL$24-$I138 &gt;=7,NOT(_xlfn.IFNA(ISNUMBER(SEARCH("Rending",$L138)),FALSE))), 0, AL$24-$I138 =7, (7-(AL$24-1-$I138))/6, AL$24-$I138 =8, (7-(AL$24-2-$I138))/6*2/3, AL$24-$I138 =9, (7-(AL$24-3-$I138))/6*1/3, TRUE, 0) *
IF(ISNUMBER(SEARCH("Ordinance",$L138)),7/6,1) *
IF(OR(ISNUMBER(SEARCH("Melee",$L138)),ISNUMBER(SEARCH("Bypass",$L138))),1.5,1)</f>
        <v>3.3333333333333335</v>
      </c>
      <c r="AM138" s="17" cm="1">
        <f t="array" ref="AM138">$H138 *
IF(ISNUMBER(SEARCH("Rapid",$L138)),7/6,1) *
IF(OR(ISNUMBER(SEARCH("Beam",$L138)),ISNUMBER(SEARCH("Firestorm",$L138))),1, IF(ISNUMBER(SEARCH("Blast",$L138)),(4+$G138+(2-$G138)*0.5)/6*2,(4+$G138)/6)) *
_xlfn.IFS(AM$24-$I138 &lt;=1, 5/6, AM$24-$I138 &lt;=5, (7-(AM$24-$I138))/6, AND(AM$24-$I138 =6,NOT(_xlfn.IFNA(ISNUMBER(SEARCH("Rending",$L138)),FALSE))), (7-(AM$24-$I138))/6, AND(AM$24-$I138 &gt;=7,NOT(_xlfn.IFNA(ISNUMBER(SEARCH("Rending",$L138)),FALSE))), 0, AM$24-$I138 =7, (7-(AM$24-1-$I138))/6, AM$24-$I138 =8, (7-(AM$24-2-$I138))/6*2/3, AM$24-$I138 =9, (7-(AM$24-3-$I138))/6*1/3, TRUE, 0) *
IF(ISNUMBER(SEARCH("Ordinance",$L138)),7/6,1) *
IF(OR(ISNUMBER(SEARCH("Melee",$L138)),ISNUMBER(SEARCH("Bypass",$L138))),1.5,1)</f>
        <v>2.6666666666666665</v>
      </c>
      <c r="AN138" s="17" cm="1">
        <f t="array" ref="AN138">$H138 *
IF(ISNUMBER(SEARCH("Rapid",$L138)),7/6,1) *
IF(OR(ISNUMBER(SEARCH("Beam",$L138)),ISNUMBER(SEARCH("Firestorm",$L138))),1, IF(ISNUMBER(SEARCH("Blast",$L138)),(4+$G138+(2-$G138)*0.5)/6*2,(4+$G138)/6)) *
_xlfn.IFS(AN$24-$I138 &lt;=1, 5/6, AN$24-$I138 &lt;=5, (7-(AN$24-$I138))/6, AND(AN$24-$I138 =6,NOT(_xlfn.IFNA(ISNUMBER(SEARCH("Rending",$L138)),FALSE))), (7-(AN$24-$I138))/6, AND(AN$24-$I138 &gt;=7,NOT(_xlfn.IFNA(ISNUMBER(SEARCH("Rending",$L138)),FALSE))), 0, AN$24-$I138 =7, (7-(AN$24-1-$I138))/6, AN$24-$I138 =8, (7-(AN$24-2-$I138))/6*2/3, AN$24-$I138 =9, (7-(AN$24-3-$I138))/6*1/3, TRUE, 0) *
IF(ISNUMBER(SEARCH("Ordinance",$L138)),7/6,1) *
IF(OR(ISNUMBER(SEARCH("Melee",$L138)),ISNUMBER(SEARCH("Bypass",$L138))),1.5,1)</f>
        <v>2</v>
      </c>
      <c r="AO138" s="17" cm="1">
        <f t="array" ref="AO138">$H138 *
IF(ISNUMBER(SEARCH("Rapid",$L138)),7/6,1) *
IF(OR(ISNUMBER(SEARCH("Beam",$L138)),ISNUMBER(SEARCH("Firestorm",$L138))),1, IF(ISNUMBER(SEARCH("Blast",$L138)),(4+$G138+(2-$G138)*0.5)/6*2,(4+$G138)/6)) *
_xlfn.IFS(AO$24-$I138 &lt;=1, 5/6, AO$24-$I138 &lt;=5, (7-(AO$24-$I138))/6, AND(AO$24-$I138 =6,NOT(_xlfn.IFNA(ISNUMBER(SEARCH("Rending",$L138)),FALSE))), (7-(AO$24-$I138))/6, AND(AO$24-$I138 &gt;=7,NOT(_xlfn.IFNA(ISNUMBER(SEARCH("Rending",$L138)),FALSE))), 0, AO$24-$I138 =7, (7-(AO$24-1-$I138))/6, AO$24-$I138 =8, (7-(AO$24-2-$I138))/6*2/3, AO$24-$I138 =9, (7-(AO$24-3-$I138))/6*1/3, TRUE, 0) *
IF(ISNUMBER(SEARCH("Ordinance",$L138)),7/6,1) *
IF(OR(ISNUMBER(SEARCH("Melee",$L138)),ISNUMBER(SEARCH("Bypass",$L138))),1.5,1)</f>
        <v>1.3333333333333333</v>
      </c>
      <c r="AP138" s="17" cm="1">
        <f t="array" ref="AP138">$H138 *
IF(ISNUMBER(SEARCH("Rapid",$L138)),7/6,1) *
IF(OR(ISNUMBER(SEARCH("Beam",$L138)),ISNUMBER(SEARCH("Firestorm",$L138))),1, IF(ISNUMBER(SEARCH("Blast",$L138)),(4+$G138+(2-$G138)*0.5)/6*2,(4+$G138)/6)) *
_xlfn.IFS(AP$24-$I138 &lt;=1, 5/6, AP$24-$I138 &lt;=5, (7-(AP$24-$I138))/6, AND(AP$24-$I138 =6,NOT(_xlfn.IFNA(ISNUMBER(SEARCH("Rending",$L138)),FALSE))), (7-(AP$24-$I138))/6, AND(AP$24-$I138 &gt;=7,NOT(_xlfn.IFNA(ISNUMBER(SEARCH("Rending",$L138)),FALSE))), 0, AP$24-$I138 =7, (7-(AP$24-1-$I138))/6, AP$24-$I138 =8, (7-(AP$24-2-$I138))/6*2/3, AP$24-$I138 =9, (7-(AP$24-3-$I138))/6*1/3, TRUE, 0) *
IF(ISNUMBER(SEARCH("Ordinance",$L138)),7/6,1) *
IF(OR(ISNUMBER(SEARCH("Melee",$L138)),ISNUMBER(SEARCH("Bypass",$L138))),1.5,1)</f>
        <v>0</v>
      </c>
      <c r="AQ138" s="17" cm="1">
        <f t="array" ref="AQ138">$H138 *
IF(ISNUMBER(SEARCH("Rapid",$L138)),7/6,1) *
IF(OR(ISNUMBER(SEARCH("Beam",$L138)),ISNUMBER(SEARCH("Firestorm",$L138))),1, IF(ISNUMBER(SEARCH("Blast",$L138)),(4+$G138+(2-$G138)*0.5)/6*2,(4+$G138)/6)) *
_xlfn.IFS(AQ$24-$I138 &lt;=1, 5/6, AQ$24-$I138 &lt;=5, (7-(AQ$24-$I138))/6, AND(AQ$24-$I138 =6,NOT(_xlfn.IFNA(ISNUMBER(SEARCH("Rending",$L138)),FALSE))), (7-(AQ$24-$I138))/6, AND(AQ$24-$I138 &gt;=7,NOT(_xlfn.IFNA(ISNUMBER(SEARCH("Rending",$L138)),FALSE))), 0, AQ$24-$I138 =7, (7-(AQ$24-1-$I138))/6, AQ$24-$I138 =8, (7-(AQ$24-2-$I138))/6*2/3, AQ$24-$I138 =9, (7-(AQ$24-3-$I138))/6*1/3, TRUE, 0) *
IF(ISNUMBER(SEARCH("Ordinance",$L138)),7/6,1) *
IF(OR(ISNUMBER(SEARCH("Melee",$L138)),ISNUMBER(SEARCH("Bypass",$L138))),1.5,1)</f>
        <v>0.66666666666666663</v>
      </c>
      <c r="AS138" s="16">
        <f t="shared" ref="AS138:AT140" si="37">IF($E138=1,AG138*3,IF($E138=2,2*AG138,1.1*AG138))/3</f>
        <v>0</v>
      </c>
      <c r="AT138" s="16">
        <f t="shared" si="37"/>
        <v>0</v>
      </c>
      <c r="AU138" s="16">
        <f>IF(D138+E138=3,
 IF(E138=3, 2.5*AI138,
  IF(E138=2, 1.8*AI138+0.7*X138,
   IF(E138=1, 0.95*AI138+1.55*X138,
    2.5*X138))),
 IF(D138+E138=2,
  IF(E138=2, 1.55*AI138,
   IF(E138 =1, 0.85*AI138+0.7*X138,
    1.55*X138)),
  IF(E138=1, 0.95*AI138,
   0.7*X138))
)/3</f>
        <v>0.97222222222222221</v>
      </c>
      <c r="AV138" s="2">
        <v>12</v>
      </c>
    </row>
    <row r="139" spans="1:48" x14ac:dyDescent="0.3">
      <c r="A139" t="s">
        <v>565</v>
      </c>
      <c r="B139" s="3">
        <v>2</v>
      </c>
      <c r="D139" s="3">
        <v>1</v>
      </c>
      <c r="F139" s="10">
        <v>2</v>
      </c>
      <c r="G139" s="10"/>
      <c r="H139" s="3">
        <v>3</v>
      </c>
      <c r="I139" s="3">
        <v>13</v>
      </c>
      <c r="J139" s="3" t="s">
        <v>567</v>
      </c>
      <c r="K139" s="3">
        <v>50</v>
      </c>
      <c r="L139" s="3" t="s">
        <v>569</v>
      </c>
      <c r="M139" s="3" t="s">
        <v>199</v>
      </c>
      <c r="N139" s="3">
        <v>12</v>
      </c>
      <c r="O139" s="3">
        <v>12</v>
      </c>
      <c r="P139" s="3">
        <v>16</v>
      </c>
      <c r="Q139" s="3" t="s">
        <v>200</v>
      </c>
      <c r="R139" s="3">
        <v>7</v>
      </c>
      <c r="S139" s="3">
        <v>9</v>
      </c>
      <c r="T139" s="3">
        <v>3</v>
      </c>
      <c r="V139" s="16">
        <f t="shared" si="33"/>
        <v>0</v>
      </c>
      <c r="W139" s="16">
        <f t="shared" si="34"/>
        <v>0</v>
      </c>
      <c r="X139" s="17" cm="1">
        <f t="array" ref="X139">$H139 *
IF(ISNUMBER(SEARCH("Rapid",$L139)),7/6,1) *
IF(OR(ISNUMBER(SEARCH("Beam",$L139)),ISNUMBER(SEARCH("Firestorm",$L139))),1, IF(ISNUMBER(SEARCH("Blast",$L139)),(4+$F139+(2-$F139)*0.5)/6*2,(4+$F139)/6)) *
IF(ISNUMBER(SEARCH("Fusion",$L139)), _xlfn.IFS(X$24-$I139 &lt;=1, 9/10, X$24-$I139 &lt;=10,(11-(X$24-$I139))/10, X$24-$I139 &gt;=11, 0),
_xlfn.IFS(X$24-$I139 &lt;=1, 5/6, X$24-$I139 &lt;=5, (7-(X$24-$I139))/6, AND(X$24-$I139 =6,NOT(_xlfn.IFNA(ISNUMBER(SEARCH("Rending",$L139)),FALSE))), (7-(X$24-$I139))/6, AND(X$24-$I139 &gt;=7,NOT(_xlfn.IFNA(ISNUMBER(SEARCH("Rending",$L139)),FALSE))), 0, X$24-$I139 =7, (7-(X$24-1-$I139))/6, X$24-$I139 =8, (7-(X$24-2-$I139))/6*2/3, X$24-$I139 =9, (7-(X$24-3-$I139))/6*1/3, TRUE, 0)) *
IF(ISNUMBER(SEARCH("Ordinance",$L139)),7/6,1) *
IF(OR(ISNUMBER(SEARCH("Melee",$L139)),ISNUMBER(SEARCH("Bypass",$L139))),1.5,1)</f>
        <v>4.0500000000000007</v>
      </c>
      <c r="Y139" s="17" cm="1">
        <f t="array" ref="Y139">$H139 *
IF(ISNUMBER(SEARCH("Rapid",$L139)),7/6,1) *
IF(OR(ISNUMBER(SEARCH("Beam",$L139)),ISNUMBER(SEARCH("Firestorm",$L139))),1, IF(ISNUMBER(SEARCH("Blast",$L139)),(4+$F139+(2-$F139)*0.5)/6*2,(4+$F139)/6)) *
IF(ISNUMBER(SEARCH("Fusion",$L139)), _xlfn.IFS(Y$24-$I139 &lt;=1, 9/10, Y$24-$I139 &lt;=10,(11-(Y$24-$I139))/10, Y$24-$I139 &gt;=11, 0),
_xlfn.IFS(Y$24-$I139 &lt;=1, 5/6, Y$24-$I139 &lt;=5, (7-(Y$24-$I139))/6, AND(Y$24-$I139 =6,NOT(_xlfn.IFNA(ISNUMBER(SEARCH("Rending",$L139)),FALSE))), (7-(Y$24-$I139))/6, AND(Y$24-$I139 &gt;=7,NOT(_xlfn.IFNA(ISNUMBER(SEARCH("Rending",$L139)),FALSE))), 0, Y$24-$I139 =7, (7-(Y$24-1-$I139))/6, Y$24-$I139 =8, (7-(Y$24-2-$I139))/6*2/3, Y$24-$I139 =9, (7-(Y$24-3-$I139))/6*1/3, TRUE, 0)) *
IF(ISNUMBER(SEARCH("Ordinance",$L139)),7/6,1) *
IF(OR(ISNUMBER(SEARCH("Melee",$L139)),ISNUMBER(SEARCH("Bypass",$L139))),1.5,1)</f>
        <v>4.0500000000000007</v>
      </c>
      <c r="Z139" s="17" cm="1">
        <f t="array" ref="Z139">$H139 *
IF(ISNUMBER(SEARCH("Rapid",$L139)),7/6,1) *
IF(OR(ISNUMBER(SEARCH("Beam",$L139)),ISNUMBER(SEARCH("Firestorm",$L139))),1, IF(ISNUMBER(SEARCH("Blast",$L139)),(4+$F139+(2-$F139)*0.5)/6*2,(4+$F139)/6)) *
IF(ISNUMBER(SEARCH("Fusion",$L139)), _xlfn.IFS(Z$24-$I139 &lt;=1, 9/10, Z$24-$I139 &lt;=10,(11-(Z$24-$I139))/10, Z$24-$I139 &gt;=11, 0),
_xlfn.IFS(Z$24-$I139 &lt;=1, 5/6, Z$24-$I139 &lt;=5, (7-(Z$24-$I139))/6, AND(Z$24-$I139 =6,NOT(_xlfn.IFNA(ISNUMBER(SEARCH("Rending",$L139)),FALSE))), (7-(Z$24-$I139))/6, AND(Z$24-$I139 &gt;=7,NOT(_xlfn.IFNA(ISNUMBER(SEARCH("Rending",$L139)),FALSE))), 0, Z$24-$I139 =7, (7-(Z$24-1-$I139))/6, Z$24-$I139 =8, (7-(Z$24-2-$I139))/6*2/3, Z$24-$I139 =9, (7-(Z$24-3-$I139))/6*1/3, TRUE, 0)) *
IF(ISNUMBER(SEARCH("Ordinance",$L139)),7/6,1) *
IF(OR(ISNUMBER(SEARCH("Melee",$L139)),ISNUMBER(SEARCH("Bypass",$L139))),1.5,1)</f>
        <v>4.0500000000000007</v>
      </c>
      <c r="AA139" s="17" cm="1">
        <f t="array" ref="AA139">$H139 *
IF(ISNUMBER(SEARCH("Rapid",$L139)),7/6,1) *
IF(OR(ISNUMBER(SEARCH("Beam",$L139)),ISNUMBER(SEARCH("Firestorm",$L139))),1, IF(ISNUMBER(SEARCH("Blast",$L139)),(4+$F139+(2-$F139)*0.5)/6*2,(4+$F139)/6)) *
IF(ISNUMBER(SEARCH("Fusion",$L139)), _xlfn.IFS(AA$24-$I139 &lt;=1, 9/10, AA$24-$I139 &lt;=10,(11-(AA$24-$I139))/10, AA$24-$I139 &gt;=11, 0),
_xlfn.IFS(AA$24-$I139 &lt;=1, 5/6, AA$24-$I139 &lt;=5, (7-(AA$24-$I139))/6, AND(AA$24-$I139 =6,NOT(_xlfn.IFNA(ISNUMBER(SEARCH("Rending",$L139)),FALSE))), (7-(AA$24-$I139))/6, AND(AA$24-$I139 &gt;=7,NOT(_xlfn.IFNA(ISNUMBER(SEARCH("Rending",$L139)),FALSE))), 0, AA$24-$I139 =7, (7-(AA$24-1-$I139))/6, AA$24-$I139 =8, (7-(AA$24-2-$I139))/6*2/3, AA$24-$I139 =9, (7-(AA$24-3-$I139))/6*1/3, TRUE, 0)) *
IF(ISNUMBER(SEARCH("Ordinance",$L139)),7/6,1) *
IF(OR(ISNUMBER(SEARCH("Melee",$L139)),ISNUMBER(SEARCH("Bypass",$L139))),1.5,1)</f>
        <v>4.0500000000000007</v>
      </c>
      <c r="AB139" s="17" cm="1">
        <f t="array" ref="AB139">$H139 *
IF(ISNUMBER(SEARCH("Rapid",$L139)),7/6,1) *
IF(OR(ISNUMBER(SEARCH("Beam",$L139)),ISNUMBER(SEARCH("Firestorm",$L139))),1, IF(ISNUMBER(SEARCH("Blast",$L139)),(4+$F139+(2-$F139)*0.5)/6*2,(4+$F139)/6)) *
IF(ISNUMBER(SEARCH("Fusion",$L139)), _xlfn.IFS(AB$24-$I139 &lt;=1, 9/10, AB$24-$I139 &lt;=10,(11-(AB$24-$I139))/10, AB$24-$I139 &gt;=11, 0),
_xlfn.IFS(AB$24-$I139 &lt;=1, 5/6, AB$24-$I139 &lt;=5, (7-(AB$24-$I139))/6, AND(AB$24-$I139 =6,NOT(_xlfn.IFNA(ISNUMBER(SEARCH("Rending",$L139)),FALSE))), (7-(AB$24-$I139))/6, AND(AB$24-$I139 &gt;=7,NOT(_xlfn.IFNA(ISNUMBER(SEARCH("Rending",$L139)),FALSE))), 0, AB$24-$I139 =7, (7-(AB$24-1-$I139))/6, AB$24-$I139 =8, (7-(AB$24-2-$I139))/6*2/3, AB$24-$I139 =9, (7-(AB$24-3-$I139))/6*1/3, TRUE, 0)) *
IF(ISNUMBER(SEARCH("Ordinance",$L139)),7/6,1) *
IF(OR(ISNUMBER(SEARCH("Melee",$L139)),ISNUMBER(SEARCH("Bypass",$L139))),1.5,1)</f>
        <v>4.0500000000000007</v>
      </c>
      <c r="AC139" s="17" cm="1">
        <f t="array" ref="AC139">$H139 *
IF(ISNUMBER(SEARCH("Rapid",$L139)),7/6,1) *
IF(OR(ISNUMBER(SEARCH("Beam",$L139)),ISNUMBER(SEARCH("Firestorm",$L139))),1, IF(ISNUMBER(SEARCH("Blast",$L139)),(4+$F139+(2-$F139)*0.5)/6*2,(4+$F139)/6)) *
IF(ISNUMBER(SEARCH("Fusion",$L139)), _xlfn.IFS(AC$24-$I139 &lt;=1, 9/10, AC$24-$I139 &lt;=10,(11-(AC$24-$I139))/10, AC$24-$I139 &gt;=11, 0),
_xlfn.IFS(AC$24-$I139 &lt;=1, 5/6, AC$24-$I139 &lt;=5, (7-(AC$24-$I139))/6, AND(AC$24-$I139 =6,NOT(_xlfn.IFNA(ISNUMBER(SEARCH("Rending",$L139)),FALSE))), (7-(AC$24-$I139))/6, AND(AC$24-$I139 &gt;=7,NOT(_xlfn.IFNA(ISNUMBER(SEARCH("Rending",$L139)),FALSE))), 0, AC$24-$I139 =7, (7-(AC$24-1-$I139))/6, AC$24-$I139 =8, (7-(AC$24-2-$I139))/6*2/3, AC$24-$I139 =9, (7-(AC$24-3-$I139))/6*1/3, TRUE, 0)) *
IF(ISNUMBER(SEARCH("Ordinance",$L139)),7/6,1) *
IF(OR(ISNUMBER(SEARCH("Melee",$L139)),ISNUMBER(SEARCH("Bypass",$L139))),1.5,1)</f>
        <v>4.0500000000000007</v>
      </c>
      <c r="AD139" s="17" cm="1">
        <f t="array" ref="AD139">$H139 *
IF(ISNUMBER(SEARCH("Rapid",$L139)),7/6,1) *
IF(OR(ISNUMBER(SEARCH("Beam",$L139)),ISNUMBER(SEARCH("Firestorm",$L139))),1, IF(ISNUMBER(SEARCH("Blast",$L139)),(4+$F139+(2-$F139)*0.5)/6*2,(4+$F139)/6)) *
IF(ISNUMBER(SEARCH("Fusion",$L139)), _xlfn.IFS(AD$24-$I139 &lt;=1, 9/10, AD$24-$I139 &lt;=10,(11-(AD$24-$I139))/10, AD$24-$I139 &gt;=11, 0),
_xlfn.IFS(AD$24-$I139 &lt;=1, 5/6, AD$24-$I139 &lt;=5, (7-(AD$24-$I139))/6, AND(AD$24-$I139 =6,NOT(_xlfn.IFNA(ISNUMBER(SEARCH("Rending",$L139)),FALSE))), (7-(AD$24-$I139))/6, AND(AD$24-$I139 &gt;=7,NOT(_xlfn.IFNA(ISNUMBER(SEARCH("Rending",$L139)),FALSE))), 0, AD$24-$I139 =7, (7-(AD$24-1-$I139))/6, AD$24-$I139 =8, (7-(AD$24-2-$I139))/6*2/3, AD$24-$I139 =9, (7-(AD$24-3-$I139))/6*1/3, TRUE, 0)) *
IF(ISNUMBER(SEARCH("Ordinance",$L139)),7/6,1) *
IF(OR(ISNUMBER(SEARCH("Melee",$L139)),ISNUMBER(SEARCH("Bypass",$L139))),1.5,1)</f>
        <v>4.0500000000000007</v>
      </c>
      <c r="AE139" s="17" cm="1">
        <f t="array" ref="AE139">$H139 *
IF(ISNUMBER(SEARCH("Rapid",$L139)),7/6,1) *
IF(OR(ISNUMBER(SEARCH("Beam",$L139)),ISNUMBER(SEARCH("Firestorm",$L139))),1, IF(ISNUMBER(SEARCH("Blast",$L139)),(4+$F139+(2-$F139)*0.5)/6*2,(4+$F139)/6)) *
IF(ISNUMBER(SEARCH("Fusion",$L139)), _xlfn.IFS(AE$24-$I139 &lt;=1, 9/10, AE$24-$I139 &lt;=10,(11-(AE$24-$I139))/10, AE$24-$I139 &gt;=11, 0),
_xlfn.IFS(AE$24-$I139 &lt;=1, 5/6, AE$24-$I139 &lt;=5, (7-(AE$24-$I139))/6, AND(AE$24-$I139 =6,NOT(_xlfn.IFNA(ISNUMBER(SEARCH("Rending",$L139)),FALSE))), (7-(AE$24-$I139))/6, AND(AE$24-$I139 &gt;=7,NOT(_xlfn.IFNA(ISNUMBER(SEARCH("Rending",$L139)),FALSE))), 0, AE$24-$I139 =7, (7-(AE$24-1-$I139))/6, AE$24-$I139 =8, (7-(AE$24-2-$I139))/6*2/3, AE$24-$I139 =9, (7-(AE$24-3-$I139))/6*1/3, TRUE, 0)) *
IF(ISNUMBER(SEARCH("Ordinance",$L139)),7/6,1) *
IF(OR(ISNUMBER(SEARCH("Melee",$L139)),ISNUMBER(SEARCH("Bypass",$L139))),1.5,1)</f>
        <v>3.6000000000000005</v>
      </c>
      <c r="AF139" s="17" cm="1">
        <f t="array" ref="AF139">$H139 *
IF(ISNUMBER(SEARCH("Rapid",$L139)),7/6,1) *
IF(OR(ISNUMBER(SEARCH("Beam",$L139)),ISNUMBER(SEARCH("Firestorm",$L139))),1, IF(ISNUMBER(SEARCH("Blast",$L139)),(4+$F139+(2-$F139)*0.5)/6*2,(4+$F139)/6)) *
IF(ISNUMBER(SEARCH("Fusion",$L139)), _xlfn.IFS(AF$24-$I139 &lt;=1, 9/10, AF$24-$I139 &lt;=10,(11-(AF$24-$I139))/10, AF$24-$I139 &gt;=11, 0),
_xlfn.IFS(AF$24-$I139 &lt;=1, 5/6, AF$24-$I139 &lt;=5, (7-(AF$24-$I139))/6, AND(AF$24-$I139 =6,NOT(_xlfn.IFNA(ISNUMBER(SEARCH("Rending",$L139)),FALSE))), (7-(AF$24-$I139))/6, AND(AF$24-$I139 &gt;=7,NOT(_xlfn.IFNA(ISNUMBER(SEARCH("Rending",$L139)),FALSE))), 0, AF$24-$I139 =7, (7-(AF$24-1-$I139))/6, AF$24-$I139 =8, (7-(AF$24-2-$I139))/6*2/3, AF$24-$I139 =9, (7-(AF$24-3-$I139))/6*1/3, TRUE, 0)) *
IF(ISNUMBER(SEARCH("Ordinance",$L139)),7/6,1) *
IF(OR(ISNUMBER(SEARCH("Melee",$L139)),ISNUMBER(SEARCH("Bypass",$L139))),1.5,1)</f>
        <v>3.1499999999999995</v>
      </c>
      <c r="AG139" s="16">
        <f t="shared" si="35"/>
        <v>0</v>
      </c>
      <c r="AH139" s="16">
        <f t="shared" si="36"/>
        <v>0</v>
      </c>
      <c r="AI139" s="17" cm="1">
        <f t="array" ref="AI139">$H139 *
IF(ISNUMBER(SEARCH("Rapid",$L139)),7/6,1) *
IF(OR(ISNUMBER(SEARCH("Beam",$L139)),ISNUMBER(SEARCH("Firestorm",$L139))),1, IF(ISNUMBER(SEARCH("Blast",$L139)),(4+$G139+(2-$G139)*0.5)/6*2,(4+$G139)/6)) *
_xlfn.IFS(AI$24-$I139 &lt;=1, 5/6, AI$24-$I139 &lt;=5, (7-(AI$24-$I139))/6, AND(AI$24-$I139 =6,NOT(_xlfn.IFNA(ISNUMBER(SEARCH("Rending",$L139)),FALSE))), (7-(AI$24-$I139))/6, AND(AI$24-$I139 &gt;=7,NOT(_xlfn.IFNA(ISNUMBER(SEARCH("Rending",$L139)),FALSE))), 0, AI$24-$I139 =7, (7-(AI$24-1-$I139))/6, AI$24-$I139 =8, (7-(AI$24-2-$I139))/6*2/3, AI$24-$I139 =9, (7-(AI$24-3-$I139))/6*1/3, TRUE, 0) *
IF(ISNUMBER(SEARCH("Ordinance",$L139)),7/6,1) *
IF(OR(ISNUMBER(SEARCH("Melee",$L139)),ISNUMBER(SEARCH("Bypass",$L139))),1.5,1)</f>
        <v>2.5</v>
      </c>
      <c r="AJ139" s="17" cm="1">
        <f t="array" ref="AJ139">$H139 *
IF(ISNUMBER(SEARCH("Rapid",$L139)),7/6,1) *
IF(OR(ISNUMBER(SEARCH("Beam",$L139)),ISNUMBER(SEARCH("Firestorm",$L139))),1, IF(ISNUMBER(SEARCH("Blast",$L139)),(4+$G139+(2-$G139)*0.5)/6*2,(4+$G139)/6)) *
_xlfn.IFS(AJ$24-$I139 &lt;=1, 5/6, AJ$24-$I139 &lt;=5, (7-(AJ$24-$I139))/6, AND(AJ$24-$I139 =6,NOT(_xlfn.IFNA(ISNUMBER(SEARCH("Rending",$L139)),FALSE))), (7-(AJ$24-$I139))/6, AND(AJ$24-$I139 &gt;=7,NOT(_xlfn.IFNA(ISNUMBER(SEARCH("Rending",$L139)),FALSE))), 0, AJ$24-$I139 =7, (7-(AJ$24-1-$I139))/6, AJ$24-$I139 =8, (7-(AJ$24-2-$I139))/6*2/3, AJ$24-$I139 =9, (7-(AJ$24-3-$I139))/6*1/3, TRUE, 0) *
IF(ISNUMBER(SEARCH("Ordinance",$L139)),7/6,1) *
IF(OR(ISNUMBER(SEARCH("Melee",$L139)),ISNUMBER(SEARCH("Bypass",$L139))),1.5,1)</f>
        <v>2.5</v>
      </c>
      <c r="AK139" s="17" cm="1">
        <f t="array" ref="AK139">$H139 *
IF(ISNUMBER(SEARCH("Rapid",$L139)),7/6,1) *
IF(OR(ISNUMBER(SEARCH("Beam",$L139)),ISNUMBER(SEARCH("Firestorm",$L139))),1, IF(ISNUMBER(SEARCH("Blast",$L139)),(4+$G139+(2-$G139)*0.5)/6*2,(4+$G139)/6)) *
_xlfn.IFS(AK$24-$I139 &lt;=1, 5/6, AK$24-$I139 &lt;=5, (7-(AK$24-$I139))/6, AND(AK$24-$I139 =6,NOT(_xlfn.IFNA(ISNUMBER(SEARCH("Rending",$L139)),FALSE))), (7-(AK$24-$I139))/6, AND(AK$24-$I139 &gt;=7,NOT(_xlfn.IFNA(ISNUMBER(SEARCH("Rending",$L139)),FALSE))), 0, AK$24-$I139 =7, (7-(AK$24-1-$I139))/6, AK$24-$I139 =8, (7-(AK$24-2-$I139))/6*2/3, AK$24-$I139 =9, (7-(AK$24-3-$I139))/6*1/3, TRUE, 0) *
IF(ISNUMBER(SEARCH("Ordinance",$L139)),7/6,1) *
IF(OR(ISNUMBER(SEARCH("Melee",$L139)),ISNUMBER(SEARCH("Bypass",$L139))),1.5,1)</f>
        <v>2.5</v>
      </c>
      <c r="AL139" s="17" cm="1">
        <f t="array" ref="AL139">$H139 *
IF(ISNUMBER(SEARCH("Rapid",$L139)),7/6,1) *
IF(OR(ISNUMBER(SEARCH("Beam",$L139)),ISNUMBER(SEARCH("Firestorm",$L139))),1, IF(ISNUMBER(SEARCH("Blast",$L139)),(4+$G139+(2-$G139)*0.5)/6*2,(4+$G139)/6)) *
_xlfn.IFS(AL$24-$I139 &lt;=1, 5/6, AL$24-$I139 &lt;=5, (7-(AL$24-$I139))/6, AND(AL$24-$I139 =6,NOT(_xlfn.IFNA(ISNUMBER(SEARCH("Rending",$L139)),FALSE))), (7-(AL$24-$I139))/6, AND(AL$24-$I139 &gt;=7,NOT(_xlfn.IFNA(ISNUMBER(SEARCH("Rending",$L139)),FALSE))), 0, AL$24-$I139 =7, (7-(AL$24-1-$I139))/6, AL$24-$I139 =8, (7-(AL$24-2-$I139))/6*2/3, AL$24-$I139 =9, (7-(AL$24-3-$I139))/6*1/3, TRUE, 0) *
IF(ISNUMBER(SEARCH("Ordinance",$L139)),7/6,1) *
IF(OR(ISNUMBER(SEARCH("Melee",$L139)),ISNUMBER(SEARCH("Bypass",$L139))),1.5,1)</f>
        <v>2.5</v>
      </c>
      <c r="AM139" s="17" cm="1">
        <f t="array" ref="AM139">$H139 *
IF(ISNUMBER(SEARCH("Rapid",$L139)),7/6,1) *
IF(OR(ISNUMBER(SEARCH("Beam",$L139)),ISNUMBER(SEARCH("Firestorm",$L139))),1, IF(ISNUMBER(SEARCH("Blast",$L139)),(4+$G139+(2-$G139)*0.5)/6*2,(4+$G139)/6)) *
_xlfn.IFS(AM$24-$I139 &lt;=1, 5/6, AM$24-$I139 &lt;=5, (7-(AM$24-$I139))/6, AND(AM$24-$I139 =6,NOT(_xlfn.IFNA(ISNUMBER(SEARCH("Rending",$L139)),FALSE))), (7-(AM$24-$I139))/6, AND(AM$24-$I139 &gt;=7,NOT(_xlfn.IFNA(ISNUMBER(SEARCH("Rending",$L139)),FALSE))), 0, AM$24-$I139 =7, (7-(AM$24-1-$I139))/6, AM$24-$I139 =8, (7-(AM$24-2-$I139))/6*2/3, AM$24-$I139 =9, (7-(AM$24-3-$I139))/6*1/3, TRUE, 0) *
IF(ISNUMBER(SEARCH("Ordinance",$L139)),7/6,1) *
IF(OR(ISNUMBER(SEARCH("Melee",$L139)),ISNUMBER(SEARCH("Bypass",$L139))),1.5,1)</f>
        <v>2.5</v>
      </c>
      <c r="AN139" s="17" cm="1">
        <f t="array" ref="AN139">$H139 *
IF(ISNUMBER(SEARCH("Rapid",$L139)),7/6,1) *
IF(OR(ISNUMBER(SEARCH("Beam",$L139)),ISNUMBER(SEARCH("Firestorm",$L139))),1, IF(ISNUMBER(SEARCH("Blast",$L139)),(4+$G139+(2-$G139)*0.5)/6*2,(4+$G139)/6)) *
_xlfn.IFS(AN$24-$I139 &lt;=1, 5/6, AN$24-$I139 &lt;=5, (7-(AN$24-$I139))/6, AND(AN$24-$I139 =6,NOT(_xlfn.IFNA(ISNUMBER(SEARCH("Rending",$L139)),FALSE))), (7-(AN$24-$I139))/6, AND(AN$24-$I139 &gt;=7,NOT(_xlfn.IFNA(ISNUMBER(SEARCH("Rending",$L139)),FALSE))), 0, AN$24-$I139 =7, (7-(AN$24-1-$I139))/6, AN$24-$I139 =8, (7-(AN$24-2-$I139))/6*2/3, AN$24-$I139 =9, (7-(AN$24-3-$I139))/6*1/3, TRUE, 0) *
IF(ISNUMBER(SEARCH("Ordinance",$L139)),7/6,1) *
IF(OR(ISNUMBER(SEARCH("Melee",$L139)),ISNUMBER(SEARCH("Bypass",$L139))),1.5,1)</f>
        <v>2.5</v>
      </c>
      <c r="AO139" s="17" cm="1">
        <f t="array" ref="AO139">$H139 *
IF(ISNUMBER(SEARCH("Rapid",$L139)),7/6,1) *
IF(OR(ISNUMBER(SEARCH("Beam",$L139)),ISNUMBER(SEARCH("Firestorm",$L139))),1, IF(ISNUMBER(SEARCH("Blast",$L139)),(4+$G139+(2-$G139)*0.5)/6*2,(4+$G139)/6)) *
_xlfn.IFS(AO$24-$I139 &lt;=1, 5/6, AO$24-$I139 &lt;=5, (7-(AO$24-$I139))/6, AND(AO$24-$I139 =6,NOT(_xlfn.IFNA(ISNUMBER(SEARCH("Rending",$L139)),FALSE))), (7-(AO$24-$I139))/6, AND(AO$24-$I139 &gt;=7,NOT(_xlfn.IFNA(ISNUMBER(SEARCH("Rending",$L139)),FALSE))), 0, AO$24-$I139 =7, (7-(AO$24-1-$I139))/6, AO$24-$I139 =8, (7-(AO$24-2-$I139))/6*2/3, AO$24-$I139 =9, (7-(AO$24-3-$I139))/6*1/3, TRUE, 0) *
IF(ISNUMBER(SEARCH("Ordinance",$L139)),7/6,1) *
IF(OR(ISNUMBER(SEARCH("Melee",$L139)),ISNUMBER(SEARCH("Bypass",$L139))),1.5,1)</f>
        <v>2.5</v>
      </c>
      <c r="AP139" s="17" cm="1">
        <f t="array" ref="AP139">$H139 *
IF(ISNUMBER(SEARCH("Rapid",$L139)),7/6,1) *
IF(OR(ISNUMBER(SEARCH("Beam",$L139)),ISNUMBER(SEARCH("Firestorm",$L139))),1, IF(ISNUMBER(SEARCH("Blast",$L139)),(4+$G139+(2-$G139)*0.5)/6*2,(4+$G139)/6)) *
_xlfn.IFS(AP$24-$I139 &lt;=1, 5/6, AP$24-$I139 &lt;=5, (7-(AP$24-$I139))/6, AND(AP$24-$I139 =6,NOT(_xlfn.IFNA(ISNUMBER(SEARCH("Rending",$L139)),FALSE))), (7-(AP$24-$I139))/6, AND(AP$24-$I139 &gt;=7,NOT(_xlfn.IFNA(ISNUMBER(SEARCH("Rending",$L139)),FALSE))), 0, AP$24-$I139 =7, (7-(AP$24-1-$I139))/6, AP$24-$I139 =8, (7-(AP$24-2-$I139))/6*2/3, AP$24-$I139 =9, (7-(AP$24-3-$I139))/6*1/3, TRUE, 0) *
IF(ISNUMBER(SEARCH("Ordinance",$L139)),7/6,1) *
IF(OR(ISNUMBER(SEARCH("Melee",$L139)),ISNUMBER(SEARCH("Bypass",$L139))),1.5,1)</f>
        <v>2</v>
      </c>
      <c r="AQ139" s="17" cm="1">
        <f t="array" ref="AQ139">$H139 *
IF(ISNUMBER(SEARCH("Rapid",$L139)),7/6,1) *
IF(OR(ISNUMBER(SEARCH("Beam",$L139)),ISNUMBER(SEARCH("Firestorm",$L139))),1, IF(ISNUMBER(SEARCH("Blast",$L139)),(4+$G139+(2-$G139)*0.5)/6*2,(4+$G139)/6)) *
_xlfn.IFS(AQ$24-$I139 &lt;=1, 5/6, AQ$24-$I139 &lt;=5, (7-(AQ$24-$I139))/6, AND(AQ$24-$I139 =6,NOT(_xlfn.IFNA(ISNUMBER(SEARCH("Rending",$L139)),FALSE))), (7-(AQ$24-$I139))/6, AND(AQ$24-$I139 &gt;=7,NOT(_xlfn.IFNA(ISNUMBER(SEARCH("Rending",$L139)),FALSE))), 0, AQ$24-$I139 =7, (7-(AQ$24-1-$I139))/6, AQ$24-$I139 =8, (7-(AQ$24-2-$I139))/6*2/3, AQ$24-$I139 =9, (7-(AQ$24-3-$I139))/6*1/3, TRUE, 0) *
IF(ISNUMBER(SEARCH("Ordinance",$L139)),7/6,1) *
IF(OR(ISNUMBER(SEARCH("Melee",$L139)),ISNUMBER(SEARCH("Bypass",$L139))),1.5,1)</f>
        <v>1.5</v>
      </c>
      <c r="AS139" s="16">
        <f t="shared" si="37"/>
        <v>0</v>
      </c>
      <c r="AT139" s="16">
        <f t="shared" si="37"/>
        <v>0</v>
      </c>
      <c r="AU139" s="16">
        <f>IF(D139+E139=3,
 IF(E139=3, 2.5*AI139,
  IF(E139=2, 1.8*AI139+0.7*X139,
   IF(E139=1, 0.95*AI139+1.55*X139,
    2.5*X139))),
 IF(D139+E139=2,
  IF(E139=2, 1.55*AI139,
   IF(E139 =1, 0.85*AI139+0.7*X139,
    1.55*X139)),
  IF(E139=1, 0.95*AI139,
   0.7*X139))
)/3</f>
        <v>0.94500000000000017</v>
      </c>
      <c r="AV139" s="2">
        <v>15</v>
      </c>
    </row>
    <row r="140" spans="1:48" x14ac:dyDescent="0.3">
      <c r="A140" t="s">
        <v>566</v>
      </c>
      <c r="B140" s="3">
        <v>2</v>
      </c>
      <c r="C140" s="3">
        <v>8</v>
      </c>
      <c r="D140" s="3">
        <v>1</v>
      </c>
      <c r="F140" s="10">
        <v>2</v>
      </c>
      <c r="G140" s="10"/>
      <c r="H140" s="3">
        <v>2</v>
      </c>
      <c r="I140" s="3">
        <v>12</v>
      </c>
      <c r="J140" s="3" t="s">
        <v>567</v>
      </c>
      <c r="K140" s="3">
        <v>60</v>
      </c>
      <c r="L140" s="3" t="s">
        <v>570</v>
      </c>
      <c r="M140" s="3" t="s">
        <v>199</v>
      </c>
      <c r="N140" s="3">
        <v>12</v>
      </c>
      <c r="O140" s="3">
        <v>12</v>
      </c>
      <c r="P140" s="3">
        <v>16</v>
      </c>
      <c r="Q140" s="3" t="s">
        <v>200</v>
      </c>
      <c r="R140" s="3">
        <v>7</v>
      </c>
      <c r="S140" s="3">
        <v>9</v>
      </c>
      <c r="T140" s="3">
        <v>3</v>
      </c>
      <c r="V140" s="16">
        <f t="shared" si="33"/>
        <v>0</v>
      </c>
      <c r="W140" s="16">
        <f t="shared" si="34"/>
        <v>0</v>
      </c>
      <c r="X140" s="17" cm="1">
        <f t="array" ref="X140">$H140 *
IF(ISNUMBER(SEARCH("Rapid",$L140)),7/6,1) *
IF(OR(ISNUMBER(SEARCH("Beam",$L140)),ISNUMBER(SEARCH("Firestorm",$L140))),1, IF(ISNUMBER(SEARCH("Blast",$L140)),(4+$F140+(2-$F140)*0.5)/6*2,(4+$F140)/6)) *
IF(ISNUMBER(SEARCH("Fusion",$L140)), _xlfn.IFS(X$24-$I140 &lt;=1, 9/10, X$24-$I140 &lt;=10,(11-(X$24-$I140))/10, X$24-$I140 &gt;=11, 0),
_xlfn.IFS(X$24-$I140 &lt;=1, 5/6, X$24-$I140 &lt;=5, (7-(X$24-$I140))/6, AND(X$24-$I140 =6,NOT(_xlfn.IFNA(ISNUMBER(SEARCH("Rending",$L140)),FALSE))), (7-(X$24-$I140))/6, AND(X$24-$I140 &gt;=7,NOT(_xlfn.IFNA(ISNUMBER(SEARCH("Rending",$L140)),FALSE))), 0, X$24-$I140 =7, (7-(X$24-1-$I140))/6, X$24-$I140 =8, (7-(X$24-2-$I140))/6*2/3, X$24-$I140 =9, (7-(X$24-3-$I140))/6*1/3, TRUE, 0)) *
IF(ISNUMBER(SEARCH("Ordinance",$L140)),7/6,1) *
IF(OR(ISNUMBER(SEARCH("Melee",$L140)),ISNUMBER(SEARCH("Bypass",$L140))),1.5,1)</f>
        <v>2.5</v>
      </c>
      <c r="Y140" s="17" cm="1">
        <f t="array" ref="Y140">$H140 *
IF(ISNUMBER(SEARCH("Rapid",$L140)),7/6,1) *
IF(OR(ISNUMBER(SEARCH("Beam",$L140)),ISNUMBER(SEARCH("Firestorm",$L140))),1, IF(ISNUMBER(SEARCH("Blast",$L140)),(4+$F140+(2-$F140)*0.5)/6*2,(4+$F140)/6)) *
IF(ISNUMBER(SEARCH("Fusion",$L140)), _xlfn.IFS(Y$24-$I140 &lt;=1, 9/10, Y$24-$I140 &lt;=10,(11-(Y$24-$I140))/10, Y$24-$I140 &gt;=11, 0),
_xlfn.IFS(Y$24-$I140 &lt;=1, 5/6, Y$24-$I140 &lt;=5, (7-(Y$24-$I140))/6, AND(Y$24-$I140 =6,NOT(_xlfn.IFNA(ISNUMBER(SEARCH("Rending",$L140)),FALSE))), (7-(Y$24-$I140))/6, AND(Y$24-$I140 &gt;=7,NOT(_xlfn.IFNA(ISNUMBER(SEARCH("Rending",$L140)),FALSE))), 0, Y$24-$I140 =7, (7-(Y$24-1-$I140))/6, Y$24-$I140 =8, (7-(Y$24-2-$I140))/6*2/3, Y$24-$I140 =9, (7-(Y$24-3-$I140))/6*1/3, TRUE, 0)) *
IF(ISNUMBER(SEARCH("Ordinance",$L140)),7/6,1) *
IF(OR(ISNUMBER(SEARCH("Melee",$L140)),ISNUMBER(SEARCH("Bypass",$L140))),1.5,1)</f>
        <v>2.5</v>
      </c>
      <c r="Z140" s="17" cm="1">
        <f t="array" ref="Z140">$H140 *
IF(ISNUMBER(SEARCH("Rapid",$L140)),7/6,1) *
IF(OR(ISNUMBER(SEARCH("Beam",$L140)),ISNUMBER(SEARCH("Firestorm",$L140))),1, IF(ISNUMBER(SEARCH("Blast",$L140)),(4+$F140+(2-$F140)*0.5)/6*2,(4+$F140)/6)) *
IF(ISNUMBER(SEARCH("Fusion",$L140)), _xlfn.IFS(Z$24-$I140 &lt;=1, 9/10, Z$24-$I140 &lt;=10,(11-(Z$24-$I140))/10, Z$24-$I140 &gt;=11, 0),
_xlfn.IFS(Z$24-$I140 &lt;=1, 5/6, Z$24-$I140 &lt;=5, (7-(Z$24-$I140))/6, AND(Z$24-$I140 =6,NOT(_xlfn.IFNA(ISNUMBER(SEARCH("Rending",$L140)),FALSE))), (7-(Z$24-$I140))/6, AND(Z$24-$I140 &gt;=7,NOT(_xlfn.IFNA(ISNUMBER(SEARCH("Rending",$L140)),FALSE))), 0, Z$24-$I140 =7, (7-(Z$24-1-$I140))/6, Z$24-$I140 =8, (7-(Z$24-2-$I140))/6*2/3, Z$24-$I140 =9, (7-(Z$24-3-$I140))/6*1/3, TRUE, 0)) *
IF(ISNUMBER(SEARCH("Ordinance",$L140)),7/6,1) *
IF(OR(ISNUMBER(SEARCH("Melee",$L140)),ISNUMBER(SEARCH("Bypass",$L140))),1.5,1)</f>
        <v>2.5</v>
      </c>
      <c r="AA140" s="17" cm="1">
        <f t="array" ref="AA140">$H140 *
IF(ISNUMBER(SEARCH("Rapid",$L140)),7/6,1) *
IF(OR(ISNUMBER(SEARCH("Beam",$L140)),ISNUMBER(SEARCH("Firestorm",$L140))),1, IF(ISNUMBER(SEARCH("Blast",$L140)),(4+$F140+(2-$F140)*0.5)/6*2,(4+$F140)/6)) *
IF(ISNUMBER(SEARCH("Fusion",$L140)), _xlfn.IFS(AA$24-$I140 &lt;=1, 9/10, AA$24-$I140 &lt;=10,(11-(AA$24-$I140))/10, AA$24-$I140 &gt;=11, 0),
_xlfn.IFS(AA$24-$I140 &lt;=1, 5/6, AA$24-$I140 &lt;=5, (7-(AA$24-$I140))/6, AND(AA$24-$I140 =6,NOT(_xlfn.IFNA(ISNUMBER(SEARCH("Rending",$L140)),FALSE))), (7-(AA$24-$I140))/6, AND(AA$24-$I140 &gt;=7,NOT(_xlfn.IFNA(ISNUMBER(SEARCH("Rending",$L140)),FALSE))), 0, AA$24-$I140 =7, (7-(AA$24-1-$I140))/6, AA$24-$I140 =8, (7-(AA$24-2-$I140))/6*2/3, AA$24-$I140 =9, (7-(AA$24-3-$I140))/6*1/3, TRUE, 0)) *
IF(ISNUMBER(SEARCH("Ordinance",$L140)),7/6,1) *
IF(OR(ISNUMBER(SEARCH("Melee",$L140)),ISNUMBER(SEARCH("Bypass",$L140))),1.5,1)</f>
        <v>2.5</v>
      </c>
      <c r="AB140" s="17" cm="1">
        <f t="array" ref="AB140">$H140 *
IF(ISNUMBER(SEARCH("Rapid",$L140)),7/6,1) *
IF(OR(ISNUMBER(SEARCH("Beam",$L140)),ISNUMBER(SEARCH("Firestorm",$L140))),1, IF(ISNUMBER(SEARCH("Blast",$L140)),(4+$F140+(2-$F140)*0.5)/6*2,(4+$F140)/6)) *
IF(ISNUMBER(SEARCH("Fusion",$L140)), _xlfn.IFS(AB$24-$I140 &lt;=1, 9/10, AB$24-$I140 &lt;=10,(11-(AB$24-$I140))/10, AB$24-$I140 &gt;=11, 0),
_xlfn.IFS(AB$24-$I140 &lt;=1, 5/6, AB$24-$I140 &lt;=5, (7-(AB$24-$I140))/6, AND(AB$24-$I140 =6,NOT(_xlfn.IFNA(ISNUMBER(SEARCH("Rending",$L140)),FALSE))), (7-(AB$24-$I140))/6, AND(AB$24-$I140 &gt;=7,NOT(_xlfn.IFNA(ISNUMBER(SEARCH("Rending",$L140)),FALSE))), 0, AB$24-$I140 =7, (7-(AB$24-1-$I140))/6, AB$24-$I140 =8, (7-(AB$24-2-$I140))/6*2/3, AB$24-$I140 =9, (7-(AB$24-3-$I140))/6*1/3, TRUE, 0)) *
IF(ISNUMBER(SEARCH("Ordinance",$L140)),7/6,1) *
IF(OR(ISNUMBER(SEARCH("Melee",$L140)),ISNUMBER(SEARCH("Bypass",$L140))),1.5,1)</f>
        <v>2.5</v>
      </c>
      <c r="AC140" s="17" cm="1">
        <f t="array" ref="AC140">$H140 *
IF(ISNUMBER(SEARCH("Rapid",$L140)),7/6,1) *
IF(OR(ISNUMBER(SEARCH("Beam",$L140)),ISNUMBER(SEARCH("Firestorm",$L140))),1, IF(ISNUMBER(SEARCH("Blast",$L140)),(4+$F140+(2-$F140)*0.5)/6*2,(4+$F140)/6)) *
IF(ISNUMBER(SEARCH("Fusion",$L140)), _xlfn.IFS(AC$24-$I140 &lt;=1, 9/10, AC$24-$I140 &lt;=10,(11-(AC$24-$I140))/10, AC$24-$I140 &gt;=11, 0),
_xlfn.IFS(AC$24-$I140 &lt;=1, 5/6, AC$24-$I140 &lt;=5, (7-(AC$24-$I140))/6, AND(AC$24-$I140 =6,NOT(_xlfn.IFNA(ISNUMBER(SEARCH("Rending",$L140)),FALSE))), (7-(AC$24-$I140))/6, AND(AC$24-$I140 &gt;=7,NOT(_xlfn.IFNA(ISNUMBER(SEARCH("Rending",$L140)),FALSE))), 0, AC$24-$I140 =7, (7-(AC$24-1-$I140))/6, AC$24-$I140 =8, (7-(AC$24-2-$I140))/6*2/3, AC$24-$I140 =9, (7-(AC$24-3-$I140))/6*1/3, TRUE, 0)) *
IF(ISNUMBER(SEARCH("Ordinance",$L140)),7/6,1) *
IF(OR(ISNUMBER(SEARCH("Melee",$L140)),ISNUMBER(SEARCH("Bypass",$L140))),1.5,1)</f>
        <v>2.5</v>
      </c>
      <c r="AD140" s="17" cm="1">
        <f t="array" ref="AD140">$H140 *
IF(ISNUMBER(SEARCH("Rapid",$L140)),7/6,1) *
IF(OR(ISNUMBER(SEARCH("Beam",$L140)),ISNUMBER(SEARCH("Firestorm",$L140))),1, IF(ISNUMBER(SEARCH("Blast",$L140)),(4+$F140+(2-$F140)*0.5)/6*2,(4+$F140)/6)) *
IF(ISNUMBER(SEARCH("Fusion",$L140)), _xlfn.IFS(AD$24-$I140 &lt;=1, 9/10, AD$24-$I140 &lt;=10,(11-(AD$24-$I140))/10, AD$24-$I140 &gt;=11, 0),
_xlfn.IFS(AD$24-$I140 &lt;=1, 5/6, AD$24-$I140 &lt;=5, (7-(AD$24-$I140))/6, AND(AD$24-$I140 =6,NOT(_xlfn.IFNA(ISNUMBER(SEARCH("Rending",$L140)),FALSE))), (7-(AD$24-$I140))/6, AND(AD$24-$I140 &gt;=7,NOT(_xlfn.IFNA(ISNUMBER(SEARCH("Rending",$L140)),FALSE))), 0, AD$24-$I140 =7, (7-(AD$24-1-$I140))/6, AD$24-$I140 =8, (7-(AD$24-2-$I140))/6*2/3, AD$24-$I140 =9, (7-(AD$24-3-$I140))/6*1/3, TRUE, 0)) *
IF(ISNUMBER(SEARCH("Ordinance",$L140)),7/6,1) *
IF(OR(ISNUMBER(SEARCH("Melee",$L140)),ISNUMBER(SEARCH("Bypass",$L140))),1.5,1)</f>
        <v>2</v>
      </c>
      <c r="AE140" s="17" cm="1">
        <f t="array" ref="AE140">$H140 *
IF(ISNUMBER(SEARCH("Rapid",$L140)),7/6,1) *
IF(OR(ISNUMBER(SEARCH("Beam",$L140)),ISNUMBER(SEARCH("Firestorm",$L140))),1, IF(ISNUMBER(SEARCH("Blast",$L140)),(4+$F140+(2-$F140)*0.5)/6*2,(4+$F140)/6)) *
IF(ISNUMBER(SEARCH("Fusion",$L140)), _xlfn.IFS(AE$24-$I140 &lt;=1, 9/10, AE$24-$I140 &lt;=10,(11-(AE$24-$I140))/10, AE$24-$I140 &gt;=11, 0),
_xlfn.IFS(AE$24-$I140 &lt;=1, 5/6, AE$24-$I140 &lt;=5, (7-(AE$24-$I140))/6, AND(AE$24-$I140 =6,NOT(_xlfn.IFNA(ISNUMBER(SEARCH("Rending",$L140)),FALSE))), (7-(AE$24-$I140))/6, AND(AE$24-$I140 &gt;=7,NOT(_xlfn.IFNA(ISNUMBER(SEARCH("Rending",$L140)),FALSE))), 0, AE$24-$I140 =7, (7-(AE$24-1-$I140))/6, AE$24-$I140 =8, (7-(AE$24-2-$I140))/6*2/3, AE$24-$I140 =9, (7-(AE$24-3-$I140))/6*1/3, TRUE, 0)) *
IF(ISNUMBER(SEARCH("Ordinance",$L140)),7/6,1) *
IF(OR(ISNUMBER(SEARCH("Melee",$L140)),ISNUMBER(SEARCH("Bypass",$L140))),1.5,1)</f>
        <v>1.5</v>
      </c>
      <c r="AF140" s="17" cm="1">
        <f t="array" ref="AF140">$H140 *
IF(ISNUMBER(SEARCH("Rapid",$L140)),7/6,1) *
IF(OR(ISNUMBER(SEARCH("Beam",$L140)),ISNUMBER(SEARCH("Firestorm",$L140))),1, IF(ISNUMBER(SEARCH("Blast",$L140)),(4+$F140+(2-$F140)*0.5)/6*2,(4+$F140)/6)) *
IF(ISNUMBER(SEARCH("Fusion",$L140)), _xlfn.IFS(AF$24-$I140 &lt;=1, 9/10, AF$24-$I140 &lt;=10,(11-(AF$24-$I140))/10, AF$24-$I140 &gt;=11, 0),
_xlfn.IFS(AF$24-$I140 &lt;=1, 5/6, AF$24-$I140 &lt;=5, (7-(AF$24-$I140))/6, AND(AF$24-$I140 =6,NOT(_xlfn.IFNA(ISNUMBER(SEARCH("Rending",$L140)),FALSE))), (7-(AF$24-$I140))/6, AND(AF$24-$I140 &gt;=7,NOT(_xlfn.IFNA(ISNUMBER(SEARCH("Rending",$L140)),FALSE))), 0, AF$24-$I140 =7, (7-(AF$24-1-$I140))/6, AF$24-$I140 =8, (7-(AF$24-2-$I140))/6*2/3, AF$24-$I140 =9, (7-(AF$24-3-$I140))/6*1/3, TRUE, 0)) *
IF(ISNUMBER(SEARCH("Ordinance",$L140)),7/6,1) *
IF(OR(ISNUMBER(SEARCH("Melee",$L140)),ISNUMBER(SEARCH("Bypass",$L140))),1.5,1)</f>
        <v>1</v>
      </c>
      <c r="AG140" s="16">
        <f t="shared" si="35"/>
        <v>0</v>
      </c>
      <c r="AH140" s="16">
        <f t="shared" si="36"/>
        <v>0</v>
      </c>
      <c r="AI140" s="17" cm="1">
        <f t="array" ref="AI140">$H140 *
IF(ISNUMBER(SEARCH("Rapid",$L140)),7/6,1) *
IF(OR(ISNUMBER(SEARCH("Beam",$L140)),ISNUMBER(SEARCH("Firestorm",$L140))),1, IF(ISNUMBER(SEARCH("Blast",$L140)),(4+$G140+(2-$G140)*0.5)/6*2,(4+$G140)/6)) *
_xlfn.IFS(AI$24-$I140 &lt;=1, 5/6, AI$24-$I140 &lt;=5, (7-(AI$24-$I140))/6, AND(AI$24-$I140 =6,NOT(_xlfn.IFNA(ISNUMBER(SEARCH("Rending",$L140)),FALSE))), (7-(AI$24-$I140))/6, AND(AI$24-$I140 &gt;=7,NOT(_xlfn.IFNA(ISNUMBER(SEARCH("Rending",$L140)),FALSE))), 0, AI$24-$I140 =7, (7-(AI$24-1-$I140))/6, AI$24-$I140 =8, (7-(AI$24-2-$I140))/6*2/3, AI$24-$I140 =9, (7-(AI$24-3-$I140))/6*1/3, TRUE, 0) *
IF(ISNUMBER(SEARCH("Ordinance",$L140)),7/6,1) *
IF(OR(ISNUMBER(SEARCH("Melee",$L140)),ISNUMBER(SEARCH("Bypass",$L140))),1.5,1)</f>
        <v>1.6666666666666667</v>
      </c>
      <c r="AJ140" s="17" cm="1">
        <f t="array" ref="AJ140">$H140 *
IF(ISNUMBER(SEARCH("Rapid",$L140)),7/6,1) *
IF(OR(ISNUMBER(SEARCH("Beam",$L140)),ISNUMBER(SEARCH("Firestorm",$L140))),1, IF(ISNUMBER(SEARCH("Blast",$L140)),(4+$G140+(2-$G140)*0.5)/6*2,(4+$G140)/6)) *
_xlfn.IFS(AJ$24-$I140 &lt;=1, 5/6, AJ$24-$I140 &lt;=5, (7-(AJ$24-$I140))/6, AND(AJ$24-$I140 =6,NOT(_xlfn.IFNA(ISNUMBER(SEARCH("Rending",$L140)),FALSE))), (7-(AJ$24-$I140))/6, AND(AJ$24-$I140 &gt;=7,NOT(_xlfn.IFNA(ISNUMBER(SEARCH("Rending",$L140)),FALSE))), 0, AJ$24-$I140 =7, (7-(AJ$24-1-$I140))/6, AJ$24-$I140 =8, (7-(AJ$24-2-$I140))/6*2/3, AJ$24-$I140 =9, (7-(AJ$24-3-$I140))/6*1/3, TRUE, 0) *
IF(ISNUMBER(SEARCH("Ordinance",$L140)),7/6,1) *
IF(OR(ISNUMBER(SEARCH("Melee",$L140)),ISNUMBER(SEARCH("Bypass",$L140))),1.5,1)</f>
        <v>1.6666666666666667</v>
      </c>
      <c r="AK140" s="17" cm="1">
        <f t="array" ref="AK140">$H140 *
IF(ISNUMBER(SEARCH("Rapid",$L140)),7/6,1) *
IF(OR(ISNUMBER(SEARCH("Beam",$L140)),ISNUMBER(SEARCH("Firestorm",$L140))),1, IF(ISNUMBER(SEARCH("Blast",$L140)),(4+$G140+(2-$G140)*0.5)/6*2,(4+$G140)/6)) *
_xlfn.IFS(AK$24-$I140 &lt;=1, 5/6, AK$24-$I140 &lt;=5, (7-(AK$24-$I140))/6, AND(AK$24-$I140 =6,NOT(_xlfn.IFNA(ISNUMBER(SEARCH("Rending",$L140)),FALSE))), (7-(AK$24-$I140))/6, AND(AK$24-$I140 &gt;=7,NOT(_xlfn.IFNA(ISNUMBER(SEARCH("Rending",$L140)),FALSE))), 0, AK$24-$I140 =7, (7-(AK$24-1-$I140))/6, AK$24-$I140 =8, (7-(AK$24-2-$I140))/6*2/3, AK$24-$I140 =9, (7-(AK$24-3-$I140))/6*1/3, TRUE, 0) *
IF(ISNUMBER(SEARCH("Ordinance",$L140)),7/6,1) *
IF(OR(ISNUMBER(SEARCH("Melee",$L140)),ISNUMBER(SEARCH("Bypass",$L140))),1.5,1)</f>
        <v>1.6666666666666667</v>
      </c>
      <c r="AL140" s="17" cm="1">
        <f t="array" ref="AL140">$H140 *
IF(ISNUMBER(SEARCH("Rapid",$L140)),7/6,1) *
IF(OR(ISNUMBER(SEARCH("Beam",$L140)),ISNUMBER(SEARCH("Firestorm",$L140))),1, IF(ISNUMBER(SEARCH("Blast",$L140)),(4+$G140+(2-$G140)*0.5)/6*2,(4+$G140)/6)) *
_xlfn.IFS(AL$24-$I140 &lt;=1, 5/6, AL$24-$I140 &lt;=5, (7-(AL$24-$I140))/6, AND(AL$24-$I140 =6,NOT(_xlfn.IFNA(ISNUMBER(SEARCH("Rending",$L140)),FALSE))), (7-(AL$24-$I140))/6, AND(AL$24-$I140 &gt;=7,NOT(_xlfn.IFNA(ISNUMBER(SEARCH("Rending",$L140)),FALSE))), 0, AL$24-$I140 =7, (7-(AL$24-1-$I140))/6, AL$24-$I140 =8, (7-(AL$24-2-$I140))/6*2/3, AL$24-$I140 =9, (7-(AL$24-3-$I140))/6*1/3, TRUE, 0) *
IF(ISNUMBER(SEARCH("Ordinance",$L140)),7/6,1) *
IF(OR(ISNUMBER(SEARCH("Melee",$L140)),ISNUMBER(SEARCH("Bypass",$L140))),1.5,1)</f>
        <v>1.6666666666666667</v>
      </c>
      <c r="AM140" s="17" cm="1">
        <f t="array" ref="AM140">$H140 *
IF(ISNUMBER(SEARCH("Rapid",$L140)),7/6,1) *
IF(OR(ISNUMBER(SEARCH("Beam",$L140)),ISNUMBER(SEARCH("Firestorm",$L140))),1, IF(ISNUMBER(SEARCH("Blast",$L140)),(4+$G140+(2-$G140)*0.5)/6*2,(4+$G140)/6)) *
_xlfn.IFS(AM$24-$I140 &lt;=1, 5/6, AM$24-$I140 &lt;=5, (7-(AM$24-$I140))/6, AND(AM$24-$I140 =6,NOT(_xlfn.IFNA(ISNUMBER(SEARCH("Rending",$L140)),FALSE))), (7-(AM$24-$I140))/6, AND(AM$24-$I140 &gt;=7,NOT(_xlfn.IFNA(ISNUMBER(SEARCH("Rending",$L140)),FALSE))), 0, AM$24-$I140 =7, (7-(AM$24-1-$I140))/6, AM$24-$I140 =8, (7-(AM$24-2-$I140))/6*2/3, AM$24-$I140 =9, (7-(AM$24-3-$I140))/6*1/3, TRUE, 0) *
IF(ISNUMBER(SEARCH("Ordinance",$L140)),7/6,1) *
IF(OR(ISNUMBER(SEARCH("Melee",$L140)),ISNUMBER(SEARCH("Bypass",$L140))),1.5,1)</f>
        <v>1.6666666666666667</v>
      </c>
      <c r="AN140" s="17" cm="1">
        <f t="array" ref="AN140">$H140 *
IF(ISNUMBER(SEARCH("Rapid",$L140)),7/6,1) *
IF(OR(ISNUMBER(SEARCH("Beam",$L140)),ISNUMBER(SEARCH("Firestorm",$L140))),1, IF(ISNUMBER(SEARCH("Blast",$L140)),(4+$G140+(2-$G140)*0.5)/6*2,(4+$G140)/6)) *
_xlfn.IFS(AN$24-$I140 &lt;=1, 5/6, AN$24-$I140 &lt;=5, (7-(AN$24-$I140))/6, AND(AN$24-$I140 =6,NOT(_xlfn.IFNA(ISNUMBER(SEARCH("Rending",$L140)),FALSE))), (7-(AN$24-$I140))/6, AND(AN$24-$I140 &gt;=7,NOT(_xlfn.IFNA(ISNUMBER(SEARCH("Rending",$L140)),FALSE))), 0, AN$24-$I140 =7, (7-(AN$24-1-$I140))/6, AN$24-$I140 =8, (7-(AN$24-2-$I140))/6*2/3, AN$24-$I140 =9, (7-(AN$24-3-$I140))/6*1/3, TRUE, 0) *
IF(ISNUMBER(SEARCH("Ordinance",$L140)),7/6,1) *
IF(OR(ISNUMBER(SEARCH("Melee",$L140)),ISNUMBER(SEARCH("Bypass",$L140))),1.5,1)</f>
        <v>1.6666666666666667</v>
      </c>
      <c r="AO140" s="17" cm="1">
        <f t="array" ref="AO140">$H140 *
IF(ISNUMBER(SEARCH("Rapid",$L140)),7/6,1) *
IF(OR(ISNUMBER(SEARCH("Beam",$L140)),ISNUMBER(SEARCH("Firestorm",$L140))),1, IF(ISNUMBER(SEARCH("Blast",$L140)),(4+$G140+(2-$G140)*0.5)/6*2,(4+$G140)/6)) *
_xlfn.IFS(AO$24-$I140 &lt;=1, 5/6, AO$24-$I140 &lt;=5, (7-(AO$24-$I140))/6, AND(AO$24-$I140 =6,NOT(_xlfn.IFNA(ISNUMBER(SEARCH("Rending",$L140)),FALSE))), (7-(AO$24-$I140))/6, AND(AO$24-$I140 &gt;=7,NOT(_xlfn.IFNA(ISNUMBER(SEARCH("Rending",$L140)),FALSE))), 0, AO$24-$I140 =7, (7-(AO$24-1-$I140))/6, AO$24-$I140 =8, (7-(AO$24-2-$I140))/6*2/3, AO$24-$I140 =9, (7-(AO$24-3-$I140))/6*1/3, TRUE, 0) *
IF(ISNUMBER(SEARCH("Ordinance",$L140)),7/6,1) *
IF(OR(ISNUMBER(SEARCH("Melee",$L140)),ISNUMBER(SEARCH("Bypass",$L140))),1.5,1)</f>
        <v>1.3333333333333333</v>
      </c>
      <c r="AP140" s="17" cm="1">
        <f t="array" ref="AP140">$H140 *
IF(ISNUMBER(SEARCH("Rapid",$L140)),7/6,1) *
IF(OR(ISNUMBER(SEARCH("Beam",$L140)),ISNUMBER(SEARCH("Firestorm",$L140))),1, IF(ISNUMBER(SEARCH("Blast",$L140)),(4+$G140+(2-$G140)*0.5)/6*2,(4+$G140)/6)) *
_xlfn.IFS(AP$24-$I140 &lt;=1, 5/6, AP$24-$I140 &lt;=5, (7-(AP$24-$I140))/6, AND(AP$24-$I140 =6,NOT(_xlfn.IFNA(ISNUMBER(SEARCH("Rending",$L140)),FALSE))), (7-(AP$24-$I140))/6, AND(AP$24-$I140 &gt;=7,NOT(_xlfn.IFNA(ISNUMBER(SEARCH("Rending",$L140)),FALSE))), 0, AP$24-$I140 =7, (7-(AP$24-1-$I140))/6, AP$24-$I140 =8, (7-(AP$24-2-$I140))/6*2/3, AP$24-$I140 =9, (7-(AP$24-3-$I140))/6*1/3, TRUE, 0) *
IF(ISNUMBER(SEARCH("Ordinance",$L140)),7/6,1) *
IF(OR(ISNUMBER(SEARCH("Melee",$L140)),ISNUMBER(SEARCH("Bypass",$L140))),1.5,1)</f>
        <v>1</v>
      </c>
      <c r="AQ140" s="17" cm="1">
        <f t="array" ref="AQ140">$H140 *
IF(ISNUMBER(SEARCH("Rapid",$L140)),7/6,1) *
IF(OR(ISNUMBER(SEARCH("Beam",$L140)),ISNUMBER(SEARCH("Firestorm",$L140))),1, IF(ISNUMBER(SEARCH("Blast",$L140)),(4+$G140+(2-$G140)*0.5)/6*2,(4+$G140)/6)) *
_xlfn.IFS(AQ$24-$I140 &lt;=1, 5/6, AQ$24-$I140 &lt;=5, (7-(AQ$24-$I140))/6, AND(AQ$24-$I140 =6,NOT(_xlfn.IFNA(ISNUMBER(SEARCH("Rending",$L140)),FALSE))), (7-(AQ$24-$I140))/6, AND(AQ$24-$I140 &gt;=7,NOT(_xlfn.IFNA(ISNUMBER(SEARCH("Rending",$L140)),FALSE))), 0, AQ$24-$I140 =7, (7-(AQ$24-1-$I140))/6, AQ$24-$I140 =8, (7-(AQ$24-2-$I140))/6*2/3, AQ$24-$I140 =9, (7-(AQ$24-3-$I140))/6*1/3, TRUE, 0) *
IF(ISNUMBER(SEARCH("Ordinance",$L140)),7/6,1) *
IF(OR(ISNUMBER(SEARCH("Melee",$L140)),ISNUMBER(SEARCH("Bypass",$L140))),1.5,1)</f>
        <v>0.66666666666666663</v>
      </c>
      <c r="AS140" s="16">
        <f t="shared" si="37"/>
        <v>0</v>
      </c>
      <c r="AT140" s="16">
        <f t="shared" si="37"/>
        <v>0</v>
      </c>
      <c r="AU140" s="16">
        <f>IF(D140+E140=3,
 IF(E140=3, 2.5*AI140,
  IF(E140=2, 1.8*AI140+0.7*X140,
   IF(E140=1, 0.95*AI140+1.55*X140,
    2.5*X140))),
 IF(D140+E140=2,
  IF(E140=2, 1.55*AI140,
   IF(E140 =1, 0.85*AI140+0.7*X140,
    1.55*X140)),
  IF(E140=1, 0.95*AI140,
   0.7*X140))
)/3</f>
        <v>0.58333333333333337</v>
      </c>
      <c r="AV140" s="2">
        <v>14</v>
      </c>
    </row>
    <row r="141" spans="1:48" x14ac:dyDescent="0.3">
      <c r="F141" s="10"/>
      <c r="G141" s="10"/>
      <c r="V141" s="16">
        <f t="shared" si="33"/>
        <v>0</v>
      </c>
      <c r="W141" s="16">
        <f t="shared" si="34"/>
        <v>0</v>
      </c>
      <c r="X141" s="17" cm="1">
        <f t="array" ref="X141">$H141 *
IF(ISNUMBER(SEARCH("Rapid",$L141)),7/6,1) *
IF(OR(ISNUMBER(SEARCH("Beam",$L141)),ISNUMBER(SEARCH("Firestorm",$L141))),1, IF(ISNUMBER(SEARCH("Blast",$L141)),(4+$F141+(2-$F141)*0.5)/6*2,(4+$F141)/6)) *
IF(ISNUMBER(SEARCH("Fusion",$L141)), _xlfn.IFS(X$24-$I141 &lt;=1, 9/10, X$24-$I141 &lt;=10,(11-(X$24-$I141))/10, X$24-$I141 &gt;=11, 0),
_xlfn.IFS(X$24-$I141 &lt;=1, 5/6, X$24-$I141 &lt;=5, (7-(X$24-$I141))/6, AND(X$24-$I141 =6,NOT(_xlfn.IFNA(ISNUMBER(SEARCH("Rending",$L141)),FALSE))), (7-(X$24-$I141))/6, AND(X$24-$I141 &gt;=7,NOT(_xlfn.IFNA(ISNUMBER(SEARCH("Rending",$L141)),FALSE))), 0, X$24-$I141 =7, (7-(X$24-1-$I141))/6, X$24-$I141 =8, (7-(X$24-2-$I141))/6*2/3, X$24-$I141 =9, (7-(X$24-3-$I141))/6*1/3, TRUE, 0)) *
IF(ISNUMBER(SEARCH("Ordinance",$L141)),7/6,1) *
IF(OR(ISNUMBER(SEARCH("Melee",$L141)),ISNUMBER(SEARCH("Bypass",$L141))),1.5,1)</f>
        <v>0</v>
      </c>
      <c r="Y141" s="17" cm="1">
        <f t="array" ref="Y141">$H141 *
IF(ISNUMBER(SEARCH("Rapid",$L141)),7/6,1) *
IF(OR(ISNUMBER(SEARCH("Beam",$L141)),ISNUMBER(SEARCH("Firestorm",$L141))),1, IF(ISNUMBER(SEARCH("Blast",$L141)),(4+$F141+(2-$F141)*0.5)/6*2,(4+$F141)/6)) *
IF(ISNUMBER(SEARCH("Fusion",$L141)), _xlfn.IFS(Y$24-$I141 &lt;=1, 9/10, Y$24-$I141 &lt;=10,(11-(Y$24-$I141))/10, Y$24-$I141 &gt;=11, 0),
_xlfn.IFS(Y$24-$I141 &lt;=1, 5/6, Y$24-$I141 &lt;=5, (7-(Y$24-$I141))/6, AND(Y$24-$I141 =6,NOT(_xlfn.IFNA(ISNUMBER(SEARCH("Rending",$L141)),FALSE))), (7-(Y$24-$I141))/6, AND(Y$24-$I141 &gt;=7,NOT(_xlfn.IFNA(ISNUMBER(SEARCH("Rending",$L141)),FALSE))), 0, Y$24-$I141 =7, (7-(Y$24-1-$I141))/6, Y$24-$I141 =8, (7-(Y$24-2-$I141))/6*2/3, Y$24-$I141 =9, (7-(Y$24-3-$I141))/6*1/3, TRUE, 0)) *
IF(ISNUMBER(SEARCH("Ordinance",$L141)),7/6,1) *
IF(OR(ISNUMBER(SEARCH("Melee",$L141)),ISNUMBER(SEARCH("Bypass",$L141))),1.5,1)</f>
        <v>0</v>
      </c>
      <c r="Z141" s="17" cm="1">
        <f t="array" ref="Z141">$H141 *
IF(ISNUMBER(SEARCH("Rapid",$L141)),7/6,1) *
IF(OR(ISNUMBER(SEARCH("Beam",$L141)),ISNUMBER(SEARCH("Firestorm",$L141))),1, IF(ISNUMBER(SEARCH("Blast",$L141)),(4+$F141+(2-$F141)*0.5)/6*2,(4+$F141)/6)) *
IF(ISNUMBER(SEARCH("Fusion",$L141)), _xlfn.IFS(Z$24-$I141 &lt;=1, 9/10, Z$24-$I141 &lt;=10,(11-(Z$24-$I141))/10, Z$24-$I141 &gt;=11, 0),
_xlfn.IFS(Z$24-$I141 &lt;=1, 5/6, Z$24-$I141 &lt;=5, (7-(Z$24-$I141))/6, AND(Z$24-$I141 =6,NOT(_xlfn.IFNA(ISNUMBER(SEARCH("Rending",$L141)),FALSE))), (7-(Z$24-$I141))/6, AND(Z$24-$I141 &gt;=7,NOT(_xlfn.IFNA(ISNUMBER(SEARCH("Rending",$L141)),FALSE))), 0, Z$24-$I141 =7, (7-(Z$24-1-$I141))/6, Z$24-$I141 =8, (7-(Z$24-2-$I141))/6*2/3, Z$24-$I141 =9, (7-(Z$24-3-$I141))/6*1/3, TRUE, 0)) *
IF(ISNUMBER(SEARCH("Ordinance",$L141)),7/6,1) *
IF(OR(ISNUMBER(SEARCH("Melee",$L141)),ISNUMBER(SEARCH("Bypass",$L141))),1.5,1)</f>
        <v>0</v>
      </c>
      <c r="AA141" s="17" cm="1">
        <f t="array" ref="AA141">$H141 *
IF(ISNUMBER(SEARCH("Rapid",$L141)),7/6,1) *
IF(OR(ISNUMBER(SEARCH("Beam",$L141)),ISNUMBER(SEARCH("Firestorm",$L141))),1, IF(ISNUMBER(SEARCH("Blast",$L141)),(4+$F141+(2-$F141)*0.5)/6*2,(4+$F141)/6)) *
IF(ISNUMBER(SEARCH("Fusion",$L141)), _xlfn.IFS(AA$24-$I141 &lt;=1, 9/10, AA$24-$I141 &lt;=10,(11-(AA$24-$I141))/10, AA$24-$I141 &gt;=11, 0),
_xlfn.IFS(AA$24-$I141 &lt;=1, 5/6, AA$24-$I141 &lt;=5, (7-(AA$24-$I141))/6, AND(AA$24-$I141 =6,NOT(_xlfn.IFNA(ISNUMBER(SEARCH("Rending",$L141)),FALSE))), (7-(AA$24-$I141))/6, AND(AA$24-$I141 &gt;=7,NOT(_xlfn.IFNA(ISNUMBER(SEARCH("Rending",$L141)),FALSE))), 0, AA$24-$I141 =7, (7-(AA$24-1-$I141))/6, AA$24-$I141 =8, (7-(AA$24-2-$I141))/6*2/3, AA$24-$I141 =9, (7-(AA$24-3-$I141))/6*1/3, TRUE, 0)) *
IF(ISNUMBER(SEARCH("Ordinance",$L141)),7/6,1) *
IF(OR(ISNUMBER(SEARCH("Melee",$L141)),ISNUMBER(SEARCH("Bypass",$L141))),1.5,1)</f>
        <v>0</v>
      </c>
      <c r="AB141" s="17" cm="1">
        <f t="array" ref="AB141">$H141 *
IF(ISNUMBER(SEARCH("Rapid",$L141)),7/6,1) *
IF(OR(ISNUMBER(SEARCH("Beam",$L141)),ISNUMBER(SEARCH("Firestorm",$L141))),1, IF(ISNUMBER(SEARCH("Blast",$L141)),(4+$F141+(2-$F141)*0.5)/6*2,(4+$F141)/6)) *
IF(ISNUMBER(SEARCH("Fusion",$L141)), _xlfn.IFS(AB$24-$I141 &lt;=1, 9/10, AB$24-$I141 &lt;=10,(11-(AB$24-$I141))/10, AB$24-$I141 &gt;=11, 0),
_xlfn.IFS(AB$24-$I141 &lt;=1, 5/6, AB$24-$I141 &lt;=5, (7-(AB$24-$I141))/6, AND(AB$24-$I141 =6,NOT(_xlfn.IFNA(ISNUMBER(SEARCH("Rending",$L141)),FALSE))), (7-(AB$24-$I141))/6, AND(AB$24-$I141 &gt;=7,NOT(_xlfn.IFNA(ISNUMBER(SEARCH("Rending",$L141)),FALSE))), 0, AB$24-$I141 =7, (7-(AB$24-1-$I141))/6, AB$24-$I141 =8, (7-(AB$24-2-$I141))/6*2/3, AB$24-$I141 =9, (7-(AB$24-3-$I141))/6*1/3, TRUE, 0)) *
IF(ISNUMBER(SEARCH("Ordinance",$L141)),7/6,1) *
IF(OR(ISNUMBER(SEARCH("Melee",$L141)),ISNUMBER(SEARCH("Bypass",$L141))),1.5,1)</f>
        <v>0</v>
      </c>
      <c r="AC141" s="17" cm="1">
        <f t="array" ref="AC141">$H141 *
IF(ISNUMBER(SEARCH("Rapid",$L141)),7/6,1) *
IF(OR(ISNUMBER(SEARCH("Beam",$L141)),ISNUMBER(SEARCH("Firestorm",$L141))),1, IF(ISNUMBER(SEARCH("Blast",$L141)),(4+$F141+(2-$F141)*0.5)/6*2,(4+$F141)/6)) *
IF(ISNUMBER(SEARCH("Fusion",$L141)), _xlfn.IFS(AC$24-$I141 &lt;=1, 9/10, AC$24-$I141 &lt;=10,(11-(AC$24-$I141))/10, AC$24-$I141 &gt;=11, 0),
_xlfn.IFS(AC$24-$I141 &lt;=1, 5/6, AC$24-$I141 &lt;=5, (7-(AC$24-$I141))/6, AND(AC$24-$I141 =6,NOT(_xlfn.IFNA(ISNUMBER(SEARCH("Rending",$L141)),FALSE))), (7-(AC$24-$I141))/6, AND(AC$24-$I141 &gt;=7,NOT(_xlfn.IFNA(ISNUMBER(SEARCH("Rending",$L141)),FALSE))), 0, AC$24-$I141 =7, (7-(AC$24-1-$I141))/6, AC$24-$I141 =8, (7-(AC$24-2-$I141))/6*2/3, AC$24-$I141 =9, (7-(AC$24-3-$I141))/6*1/3, TRUE, 0)) *
IF(ISNUMBER(SEARCH("Ordinance",$L141)),7/6,1) *
IF(OR(ISNUMBER(SEARCH("Melee",$L141)),ISNUMBER(SEARCH("Bypass",$L141))),1.5,1)</f>
        <v>0</v>
      </c>
      <c r="AD141" s="17" cm="1">
        <f t="array" ref="AD141">$H141 *
IF(ISNUMBER(SEARCH("Rapid",$L141)),7/6,1) *
IF(OR(ISNUMBER(SEARCH("Beam",$L141)),ISNUMBER(SEARCH("Firestorm",$L141))),1, IF(ISNUMBER(SEARCH("Blast",$L141)),(4+$F141+(2-$F141)*0.5)/6*2,(4+$F141)/6)) *
IF(ISNUMBER(SEARCH("Fusion",$L141)), _xlfn.IFS(AD$24-$I141 &lt;=1, 9/10, AD$24-$I141 &lt;=10,(11-(AD$24-$I141))/10, AD$24-$I141 &gt;=11, 0),
_xlfn.IFS(AD$24-$I141 &lt;=1, 5/6, AD$24-$I141 &lt;=5, (7-(AD$24-$I141))/6, AND(AD$24-$I141 =6,NOT(_xlfn.IFNA(ISNUMBER(SEARCH("Rending",$L141)),FALSE))), (7-(AD$24-$I141))/6, AND(AD$24-$I141 &gt;=7,NOT(_xlfn.IFNA(ISNUMBER(SEARCH("Rending",$L141)),FALSE))), 0, AD$24-$I141 =7, (7-(AD$24-1-$I141))/6, AD$24-$I141 =8, (7-(AD$24-2-$I141))/6*2/3, AD$24-$I141 =9, (7-(AD$24-3-$I141))/6*1/3, TRUE, 0)) *
IF(ISNUMBER(SEARCH("Ordinance",$L141)),7/6,1) *
IF(OR(ISNUMBER(SEARCH("Melee",$L141)),ISNUMBER(SEARCH("Bypass",$L141))),1.5,1)</f>
        <v>0</v>
      </c>
      <c r="AE141" s="17" cm="1">
        <f t="array" ref="AE141">$H141 *
IF(ISNUMBER(SEARCH("Rapid",$L141)),7/6,1) *
IF(OR(ISNUMBER(SEARCH("Beam",$L141)),ISNUMBER(SEARCH("Firestorm",$L141))),1, IF(ISNUMBER(SEARCH("Blast",$L141)),(4+$F141+(2-$F141)*0.5)/6*2,(4+$F141)/6)) *
IF(ISNUMBER(SEARCH("Fusion",$L141)), _xlfn.IFS(AE$24-$I141 &lt;=1, 9/10, AE$24-$I141 &lt;=10,(11-(AE$24-$I141))/10, AE$24-$I141 &gt;=11, 0),
_xlfn.IFS(AE$24-$I141 &lt;=1, 5/6, AE$24-$I141 &lt;=5, (7-(AE$24-$I141))/6, AND(AE$24-$I141 =6,NOT(_xlfn.IFNA(ISNUMBER(SEARCH("Rending",$L141)),FALSE))), (7-(AE$24-$I141))/6, AND(AE$24-$I141 &gt;=7,NOT(_xlfn.IFNA(ISNUMBER(SEARCH("Rending",$L141)),FALSE))), 0, AE$24-$I141 =7, (7-(AE$24-1-$I141))/6, AE$24-$I141 =8, (7-(AE$24-2-$I141))/6*2/3, AE$24-$I141 =9, (7-(AE$24-3-$I141))/6*1/3, TRUE, 0)) *
IF(ISNUMBER(SEARCH("Ordinance",$L141)),7/6,1) *
IF(OR(ISNUMBER(SEARCH("Melee",$L141)),ISNUMBER(SEARCH("Bypass",$L141))),1.5,1)</f>
        <v>0</v>
      </c>
      <c r="AF141" s="17" cm="1">
        <f t="array" ref="AF141">$H141 *
IF(ISNUMBER(SEARCH("Rapid",$L141)),7/6,1) *
IF(OR(ISNUMBER(SEARCH("Beam",$L141)),ISNUMBER(SEARCH("Firestorm",$L141))),1, IF(ISNUMBER(SEARCH("Blast",$L141)),(4+$F141+(2-$F141)*0.5)/6*2,(4+$F141)/6)) *
IF(ISNUMBER(SEARCH("Fusion",$L141)), _xlfn.IFS(AF$24-$I141 &lt;=1, 9/10, AF$24-$I141 &lt;=10,(11-(AF$24-$I141))/10, AF$24-$I141 &gt;=11, 0),
_xlfn.IFS(AF$24-$I141 &lt;=1, 5/6, AF$24-$I141 &lt;=5, (7-(AF$24-$I141))/6, AND(AF$24-$I141 =6,NOT(_xlfn.IFNA(ISNUMBER(SEARCH("Rending",$L141)),FALSE))), (7-(AF$24-$I141))/6, AND(AF$24-$I141 &gt;=7,NOT(_xlfn.IFNA(ISNUMBER(SEARCH("Rending",$L141)),FALSE))), 0, AF$24-$I141 =7, (7-(AF$24-1-$I141))/6, AF$24-$I141 =8, (7-(AF$24-2-$I141))/6*2/3, AF$24-$I141 =9, (7-(AF$24-3-$I141))/6*1/3, TRUE, 0)) *
IF(ISNUMBER(SEARCH("Ordinance",$L141)),7/6,1) *
IF(OR(ISNUMBER(SEARCH("Melee",$L141)),ISNUMBER(SEARCH("Bypass",$L141))),1.5,1)</f>
        <v>0</v>
      </c>
      <c r="AG141" s="16">
        <f t="shared" si="35"/>
        <v>0</v>
      </c>
      <c r="AH141" s="16">
        <f t="shared" si="36"/>
        <v>0</v>
      </c>
      <c r="AI141" s="17" cm="1">
        <f t="array" ref="AI141">$H141 *
IF(ISNUMBER(SEARCH("Rapid",$L141)),7/6,1) *
IF(OR(ISNUMBER(SEARCH("Beam",$L141)),ISNUMBER(SEARCH("Firestorm",$L141))),1, IF(ISNUMBER(SEARCH("Blast",$L141)),(4+$G141+(2-$G141)*0.5)/6*2,(4+$G141)/6)) *
_xlfn.IFS(AI$24-$I141 &lt;=1, 5/6, AI$24-$I141 &lt;=5, (7-(AI$24-$I141))/6, AND(AI$24-$I141 =6,NOT(_xlfn.IFNA(ISNUMBER(SEARCH("Rending",$L141)),FALSE))), (7-(AI$24-$I141))/6, AND(AI$24-$I141 &gt;=7,NOT(_xlfn.IFNA(ISNUMBER(SEARCH("Rending",$L141)),FALSE))), 0, AI$24-$I141 =7, (7-(AI$24-1-$I141))/6, AI$24-$I141 =8, (7-(AI$24-2-$I141))/6*2/3, AI$24-$I141 =9, (7-(AI$24-3-$I141))/6*1/3, TRUE, 0) *
IF(ISNUMBER(SEARCH("Ordinance",$L141)),7/6,1) *
IF(OR(ISNUMBER(SEARCH("Melee",$L141)),ISNUMBER(SEARCH("Bypass",$L141))),1.5,1)</f>
        <v>0</v>
      </c>
      <c r="AJ141" s="17" cm="1">
        <f t="array" ref="AJ141">$H141 *
IF(ISNUMBER(SEARCH("Rapid",$L141)),7/6,1) *
IF(OR(ISNUMBER(SEARCH("Beam",$L141)),ISNUMBER(SEARCH("Firestorm",$L141))),1, IF(ISNUMBER(SEARCH("Blast",$L141)),(4+$G141+(2-$G141)*0.5)/6*2,(4+$G141)/6)) *
_xlfn.IFS(AJ$24-$I141 &lt;=1, 5/6, AJ$24-$I141 &lt;=5, (7-(AJ$24-$I141))/6, AND(AJ$24-$I141 =6,NOT(_xlfn.IFNA(ISNUMBER(SEARCH("Rending",$L141)),FALSE))), (7-(AJ$24-$I141))/6, AND(AJ$24-$I141 &gt;=7,NOT(_xlfn.IFNA(ISNUMBER(SEARCH("Rending",$L141)),FALSE))), 0, AJ$24-$I141 =7, (7-(AJ$24-1-$I141))/6, AJ$24-$I141 =8, (7-(AJ$24-2-$I141))/6*2/3, AJ$24-$I141 =9, (7-(AJ$24-3-$I141))/6*1/3, TRUE, 0) *
IF(ISNUMBER(SEARCH("Ordinance",$L141)),7/6,1) *
IF(OR(ISNUMBER(SEARCH("Melee",$L141)),ISNUMBER(SEARCH("Bypass",$L141))),1.5,1)</f>
        <v>0</v>
      </c>
      <c r="AK141" s="17" cm="1">
        <f t="array" ref="AK141">$H141 *
IF(ISNUMBER(SEARCH("Rapid",$L141)),7/6,1) *
IF(OR(ISNUMBER(SEARCH("Beam",$L141)),ISNUMBER(SEARCH("Firestorm",$L141))),1, IF(ISNUMBER(SEARCH("Blast",$L141)),(4+$G141+(2-$G141)*0.5)/6*2,(4+$G141)/6)) *
_xlfn.IFS(AK$24-$I141 &lt;=1, 5/6, AK$24-$I141 &lt;=5, (7-(AK$24-$I141))/6, AND(AK$24-$I141 =6,NOT(_xlfn.IFNA(ISNUMBER(SEARCH("Rending",$L141)),FALSE))), (7-(AK$24-$I141))/6, AND(AK$24-$I141 &gt;=7,NOT(_xlfn.IFNA(ISNUMBER(SEARCH("Rending",$L141)),FALSE))), 0, AK$24-$I141 =7, (7-(AK$24-1-$I141))/6, AK$24-$I141 =8, (7-(AK$24-2-$I141))/6*2/3, AK$24-$I141 =9, (7-(AK$24-3-$I141))/6*1/3, TRUE, 0) *
IF(ISNUMBER(SEARCH("Ordinance",$L141)),7/6,1) *
IF(OR(ISNUMBER(SEARCH("Melee",$L141)),ISNUMBER(SEARCH("Bypass",$L141))),1.5,1)</f>
        <v>0</v>
      </c>
      <c r="AL141" s="17" cm="1">
        <f t="array" ref="AL141">$H141 *
IF(ISNUMBER(SEARCH("Rapid",$L141)),7/6,1) *
IF(OR(ISNUMBER(SEARCH("Beam",$L141)),ISNUMBER(SEARCH("Firestorm",$L141))),1, IF(ISNUMBER(SEARCH("Blast",$L141)),(4+$G141+(2-$G141)*0.5)/6*2,(4+$G141)/6)) *
_xlfn.IFS(AL$24-$I141 &lt;=1, 5/6, AL$24-$I141 &lt;=5, (7-(AL$24-$I141))/6, AND(AL$24-$I141 =6,NOT(_xlfn.IFNA(ISNUMBER(SEARCH("Rending",$L141)),FALSE))), (7-(AL$24-$I141))/6, AND(AL$24-$I141 &gt;=7,NOT(_xlfn.IFNA(ISNUMBER(SEARCH("Rending",$L141)),FALSE))), 0, AL$24-$I141 =7, (7-(AL$24-1-$I141))/6, AL$24-$I141 =8, (7-(AL$24-2-$I141))/6*2/3, AL$24-$I141 =9, (7-(AL$24-3-$I141))/6*1/3, TRUE, 0) *
IF(ISNUMBER(SEARCH("Ordinance",$L141)),7/6,1) *
IF(OR(ISNUMBER(SEARCH("Melee",$L141)),ISNUMBER(SEARCH("Bypass",$L141))),1.5,1)</f>
        <v>0</v>
      </c>
      <c r="AM141" s="17" cm="1">
        <f t="array" ref="AM141">$H141 *
IF(ISNUMBER(SEARCH("Rapid",$L141)),7/6,1) *
IF(OR(ISNUMBER(SEARCH("Beam",$L141)),ISNUMBER(SEARCH("Firestorm",$L141))),1, IF(ISNUMBER(SEARCH("Blast",$L141)),(4+$G141+(2-$G141)*0.5)/6*2,(4+$G141)/6)) *
_xlfn.IFS(AM$24-$I141 &lt;=1, 5/6, AM$24-$I141 &lt;=5, (7-(AM$24-$I141))/6, AND(AM$24-$I141 =6,NOT(_xlfn.IFNA(ISNUMBER(SEARCH("Rending",$L141)),FALSE))), (7-(AM$24-$I141))/6, AND(AM$24-$I141 &gt;=7,NOT(_xlfn.IFNA(ISNUMBER(SEARCH("Rending",$L141)),FALSE))), 0, AM$24-$I141 =7, (7-(AM$24-1-$I141))/6, AM$24-$I141 =8, (7-(AM$24-2-$I141))/6*2/3, AM$24-$I141 =9, (7-(AM$24-3-$I141))/6*1/3, TRUE, 0) *
IF(ISNUMBER(SEARCH("Ordinance",$L141)),7/6,1) *
IF(OR(ISNUMBER(SEARCH("Melee",$L141)),ISNUMBER(SEARCH("Bypass",$L141))),1.5,1)</f>
        <v>0</v>
      </c>
      <c r="AN141" s="17" cm="1">
        <f t="array" ref="AN141">$H141 *
IF(ISNUMBER(SEARCH("Rapid",$L141)),7/6,1) *
IF(OR(ISNUMBER(SEARCH("Beam",$L141)),ISNUMBER(SEARCH("Firestorm",$L141))),1, IF(ISNUMBER(SEARCH("Blast",$L141)),(4+$G141+(2-$G141)*0.5)/6*2,(4+$G141)/6)) *
_xlfn.IFS(AN$24-$I141 &lt;=1, 5/6, AN$24-$I141 &lt;=5, (7-(AN$24-$I141))/6, AND(AN$24-$I141 =6,NOT(_xlfn.IFNA(ISNUMBER(SEARCH("Rending",$L141)),FALSE))), (7-(AN$24-$I141))/6, AND(AN$24-$I141 &gt;=7,NOT(_xlfn.IFNA(ISNUMBER(SEARCH("Rending",$L141)),FALSE))), 0, AN$24-$I141 =7, (7-(AN$24-1-$I141))/6, AN$24-$I141 =8, (7-(AN$24-2-$I141))/6*2/3, AN$24-$I141 =9, (7-(AN$24-3-$I141))/6*1/3, TRUE, 0) *
IF(ISNUMBER(SEARCH("Ordinance",$L141)),7/6,1) *
IF(OR(ISNUMBER(SEARCH("Melee",$L141)),ISNUMBER(SEARCH("Bypass",$L141))),1.5,1)</f>
        <v>0</v>
      </c>
      <c r="AO141" s="17" cm="1">
        <f t="array" ref="AO141">$H141 *
IF(ISNUMBER(SEARCH("Rapid",$L141)),7/6,1) *
IF(OR(ISNUMBER(SEARCH("Beam",$L141)),ISNUMBER(SEARCH("Firestorm",$L141))),1, IF(ISNUMBER(SEARCH("Blast",$L141)),(4+$G141+(2-$G141)*0.5)/6*2,(4+$G141)/6)) *
_xlfn.IFS(AO$24-$I141 &lt;=1, 5/6, AO$24-$I141 &lt;=5, (7-(AO$24-$I141))/6, AND(AO$24-$I141 =6,NOT(_xlfn.IFNA(ISNUMBER(SEARCH("Rending",$L141)),FALSE))), (7-(AO$24-$I141))/6, AND(AO$24-$I141 &gt;=7,NOT(_xlfn.IFNA(ISNUMBER(SEARCH("Rending",$L141)),FALSE))), 0, AO$24-$I141 =7, (7-(AO$24-1-$I141))/6, AO$24-$I141 =8, (7-(AO$24-2-$I141))/6*2/3, AO$24-$I141 =9, (7-(AO$24-3-$I141))/6*1/3, TRUE, 0) *
IF(ISNUMBER(SEARCH("Ordinance",$L141)),7/6,1) *
IF(OR(ISNUMBER(SEARCH("Melee",$L141)),ISNUMBER(SEARCH("Bypass",$L141))),1.5,1)</f>
        <v>0</v>
      </c>
      <c r="AP141" s="17" cm="1">
        <f t="array" ref="AP141">$H141 *
IF(ISNUMBER(SEARCH("Rapid",$L141)),7/6,1) *
IF(OR(ISNUMBER(SEARCH("Beam",$L141)),ISNUMBER(SEARCH("Firestorm",$L141))),1, IF(ISNUMBER(SEARCH("Blast",$L141)),(4+$G141+(2-$G141)*0.5)/6*2,(4+$G141)/6)) *
_xlfn.IFS(AP$24-$I141 &lt;=1, 5/6, AP$24-$I141 &lt;=5, (7-(AP$24-$I141))/6, AND(AP$24-$I141 =6,NOT(_xlfn.IFNA(ISNUMBER(SEARCH("Rending",$L141)),FALSE))), (7-(AP$24-$I141))/6, AND(AP$24-$I141 &gt;=7,NOT(_xlfn.IFNA(ISNUMBER(SEARCH("Rending",$L141)),FALSE))), 0, AP$24-$I141 =7, (7-(AP$24-1-$I141))/6, AP$24-$I141 =8, (7-(AP$24-2-$I141))/6*2/3, AP$24-$I141 =9, (7-(AP$24-3-$I141))/6*1/3, TRUE, 0) *
IF(ISNUMBER(SEARCH("Ordinance",$L141)),7/6,1) *
IF(OR(ISNUMBER(SEARCH("Melee",$L141)),ISNUMBER(SEARCH("Bypass",$L141))),1.5,1)</f>
        <v>0</v>
      </c>
      <c r="AQ141" s="17" cm="1">
        <f t="array" ref="AQ141">$H141 *
IF(ISNUMBER(SEARCH("Rapid",$L141)),7/6,1) *
IF(OR(ISNUMBER(SEARCH("Beam",$L141)),ISNUMBER(SEARCH("Firestorm",$L141))),1, IF(ISNUMBER(SEARCH("Blast",$L141)),(4+$G141+(2-$G141)*0.5)/6*2,(4+$G141)/6)) *
_xlfn.IFS(AQ$24-$I141 &lt;=1, 5/6, AQ$24-$I141 &lt;=5, (7-(AQ$24-$I141))/6, AND(AQ$24-$I141 =6,NOT(_xlfn.IFNA(ISNUMBER(SEARCH("Rending",$L141)),FALSE))), (7-(AQ$24-$I141))/6, AND(AQ$24-$I141 &gt;=7,NOT(_xlfn.IFNA(ISNUMBER(SEARCH("Rending",$L141)),FALSE))), 0, AQ$24-$I141 =7, (7-(AQ$24-1-$I141))/6, AQ$24-$I141 =8, (7-(AQ$24-2-$I141))/6*2/3, AQ$24-$I141 =9, (7-(AQ$24-3-$I141))/6*1/3, TRUE, 0) *
IF(ISNUMBER(SEARCH("Ordinance",$L141)),7/6,1) *
IF(OR(ISNUMBER(SEARCH("Melee",$L141)),ISNUMBER(SEARCH("Bypass",$L141))),1.5,1)</f>
        <v>0</v>
      </c>
    </row>
    <row r="142" spans="1:48" x14ac:dyDescent="0.3">
      <c r="F142" s="10"/>
      <c r="G142" s="10"/>
      <c r="V142" s="16">
        <f t="shared" si="33"/>
        <v>0</v>
      </c>
      <c r="W142" s="16">
        <f t="shared" si="34"/>
        <v>0</v>
      </c>
      <c r="X142" s="17" cm="1">
        <f t="array" ref="X142">$H142 *
IF(ISNUMBER(SEARCH("Rapid",$L142)),7/6,1) *
IF(OR(ISNUMBER(SEARCH("Beam",$L142)),ISNUMBER(SEARCH("Firestorm",$L142))),1, IF(ISNUMBER(SEARCH("Blast",$L142)),(4+$F142+(2-$F142)*0.5)/6*2,(4+$F142)/6)) *
IF(ISNUMBER(SEARCH("Fusion",$L142)), _xlfn.IFS(X$24-$I142 &lt;=1, 9/10, X$24-$I142 &lt;=10,(11-(X$24-$I142))/10, X$24-$I142 &gt;=11, 0),
_xlfn.IFS(X$24-$I142 &lt;=1, 5/6, X$24-$I142 &lt;=5, (7-(X$24-$I142))/6, AND(X$24-$I142 =6,NOT(_xlfn.IFNA(ISNUMBER(SEARCH("Rending",$L142)),FALSE))), (7-(X$24-$I142))/6, AND(X$24-$I142 &gt;=7,NOT(_xlfn.IFNA(ISNUMBER(SEARCH("Rending",$L142)),FALSE))), 0, X$24-$I142 =7, (7-(X$24-1-$I142))/6, X$24-$I142 =8, (7-(X$24-2-$I142))/6*2/3, X$24-$I142 =9, (7-(X$24-3-$I142))/6*1/3, TRUE, 0)) *
IF(ISNUMBER(SEARCH("Ordinance",$L142)),7/6,1) *
IF(OR(ISNUMBER(SEARCH("Melee",$L142)),ISNUMBER(SEARCH("Bypass",$L142))),1.5,1)</f>
        <v>0</v>
      </c>
      <c r="Y142" s="17" cm="1">
        <f t="array" ref="Y142">$H142 *
IF(ISNUMBER(SEARCH("Rapid",$L142)),7/6,1) *
IF(OR(ISNUMBER(SEARCH("Beam",$L142)),ISNUMBER(SEARCH("Firestorm",$L142))),1, IF(ISNUMBER(SEARCH("Blast",$L142)),(4+$F142+(2-$F142)*0.5)/6*2,(4+$F142)/6)) *
IF(ISNUMBER(SEARCH("Fusion",$L142)), _xlfn.IFS(Y$24-$I142 &lt;=1, 9/10, Y$24-$I142 &lt;=10,(11-(Y$24-$I142))/10, Y$24-$I142 &gt;=11, 0),
_xlfn.IFS(Y$24-$I142 &lt;=1, 5/6, Y$24-$I142 &lt;=5, (7-(Y$24-$I142))/6, AND(Y$24-$I142 =6,NOT(_xlfn.IFNA(ISNUMBER(SEARCH("Rending",$L142)),FALSE))), (7-(Y$24-$I142))/6, AND(Y$24-$I142 &gt;=7,NOT(_xlfn.IFNA(ISNUMBER(SEARCH("Rending",$L142)),FALSE))), 0, Y$24-$I142 =7, (7-(Y$24-1-$I142))/6, Y$24-$I142 =8, (7-(Y$24-2-$I142))/6*2/3, Y$24-$I142 =9, (7-(Y$24-3-$I142))/6*1/3, TRUE, 0)) *
IF(ISNUMBER(SEARCH("Ordinance",$L142)),7/6,1) *
IF(OR(ISNUMBER(SEARCH("Melee",$L142)),ISNUMBER(SEARCH("Bypass",$L142))),1.5,1)</f>
        <v>0</v>
      </c>
      <c r="Z142" s="17" cm="1">
        <f t="array" ref="Z142">$H142 *
IF(ISNUMBER(SEARCH("Rapid",$L142)),7/6,1) *
IF(OR(ISNUMBER(SEARCH("Beam",$L142)),ISNUMBER(SEARCH("Firestorm",$L142))),1, IF(ISNUMBER(SEARCH("Blast",$L142)),(4+$F142+(2-$F142)*0.5)/6*2,(4+$F142)/6)) *
IF(ISNUMBER(SEARCH("Fusion",$L142)), _xlfn.IFS(Z$24-$I142 &lt;=1, 9/10, Z$24-$I142 &lt;=10,(11-(Z$24-$I142))/10, Z$24-$I142 &gt;=11, 0),
_xlfn.IFS(Z$24-$I142 &lt;=1, 5/6, Z$24-$I142 &lt;=5, (7-(Z$24-$I142))/6, AND(Z$24-$I142 =6,NOT(_xlfn.IFNA(ISNUMBER(SEARCH("Rending",$L142)),FALSE))), (7-(Z$24-$I142))/6, AND(Z$24-$I142 &gt;=7,NOT(_xlfn.IFNA(ISNUMBER(SEARCH("Rending",$L142)),FALSE))), 0, Z$24-$I142 =7, (7-(Z$24-1-$I142))/6, Z$24-$I142 =8, (7-(Z$24-2-$I142))/6*2/3, Z$24-$I142 =9, (7-(Z$24-3-$I142))/6*1/3, TRUE, 0)) *
IF(ISNUMBER(SEARCH("Ordinance",$L142)),7/6,1) *
IF(OR(ISNUMBER(SEARCH("Melee",$L142)),ISNUMBER(SEARCH("Bypass",$L142))),1.5,1)</f>
        <v>0</v>
      </c>
      <c r="AA142" s="17" cm="1">
        <f t="array" ref="AA142">$H142 *
IF(ISNUMBER(SEARCH("Rapid",$L142)),7/6,1) *
IF(OR(ISNUMBER(SEARCH("Beam",$L142)),ISNUMBER(SEARCH("Firestorm",$L142))),1, IF(ISNUMBER(SEARCH("Blast",$L142)),(4+$F142+(2-$F142)*0.5)/6*2,(4+$F142)/6)) *
IF(ISNUMBER(SEARCH("Fusion",$L142)), _xlfn.IFS(AA$24-$I142 &lt;=1, 9/10, AA$24-$I142 &lt;=10,(11-(AA$24-$I142))/10, AA$24-$I142 &gt;=11, 0),
_xlfn.IFS(AA$24-$I142 &lt;=1, 5/6, AA$24-$I142 &lt;=5, (7-(AA$24-$I142))/6, AND(AA$24-$I142 =6,NOT(_xlfn.IFNA(ISNUMBER(SEARCH("Rending",$L142)),FALSE))), (7-(AA$24-$I142))/6, AND(AA$24-$I142 &gt;=7,NOT(_xlfn.IFNA(ISNUMBER(SEARCH("Rending",$L142)),FALSE))), 0, AA$24-$I142 =7, (7-(AA$24-1-$I142))/6, AA$24-$I142 =8, (7-(AA$24-2-$I142))/6*2/3, AA$24-$I142 =9, (7-(AA$24-3-$I142))/6*1/3, TRUE, 0)) *
IF(ISNUMBER(SEARCH("Ordinance",$L142)),7/6,1) *
IF(OR(ISNUMBER(SEARCH("Melee",$L142)),ISNUMBER(SEARCH("Bypass",$L142))),1.5,1)</f>
        <v>0</v>
      </c>
      <c r="AB142" s="17" cm="1">
        <f t="array" ref="AB142">$H142 *
IF(ISNUMBER(SEARCH("Rapid",$L142)),7/6,1) *
IF(OR(ISNUMBER(SEARCH("Beam",$L142)),ISNUMBER(SEARCH("Firestorm",$L142))),1, IF(ISNUMBER(SEARCH("Blast",$L142)),(4+$F142+(2-$F142)*0.5)/6*2,(4+$F142)/6)) *
IF(ISNUMBER(SEARCH("Fusion",$L142)), _xlfn.IFS(AB$24-$I142 &lt;=1, 9/10, AB$24-$I142 &lt;=10,(11-(AB$24-$I142))/10, AB$24-$I142 &gt;=11, 0),
_xlfn.IFS(AB$24-$I142 &lt;=1, 5/6, AB$24-$I142 &lt;=5, (7-(AB$24-$I142))/6, AND(AB$24-$I142 =6,NOT(_xlfn.IFNA(ISNUMBER(SEARCH("Rending",$L142)),FALSE))), (7-(AB$24-$I142))/6, AND(AB$24-$I142 &gt;=7,NOT(_xlfn.IFNA(ISNUMBER(SEARCH("Rending",$L142)),FALSE))), 0, AB$24-$I142 =7, (7-(AB$24-1-$I142))/6, AB$24-$I142 =8, (7-(AB$24-2-$I142))/6*2/3, AB$24-$I142 =9, (7-(AB$24-3-$I142))/6*1/3, TRUE, 0)) *
IF(ISNUMBER(SEARCH("Ordinance",$L142)),7/6,1) *
IF(OR(ISNUMBER(SEARCH("Melee",$L142)),ISNUMBER(SEARCH("Bypass",$L142))),1.5,1)</f>
        <v>0</v>
      </c>
      <c r="AC142" s="17" cm="1">
        <f t="array" ref="AC142">$H142 *
IF(ISNUMBER(SEARCH("Rapid",$L142)),7/6,1) *
IF(OR(ISNUMBER(SEARCH("Beam",$L142)),ISNUMBER(SEARCH("Firestorm",$L142))),1, IF(ISNUMBER(SEARCH("Blast",$L142)),(4+$F142+(2-$F142)*0.5)/6*2,(4+$F142)/6)) *
IF(ISNUMBER(SEARCH("Fusion",$L142)), _xlfn.IFS(AC$24-$I142 &lt;=1, 9/10, AC$24-$I142 &lt;=10,(11-(AC$24-$I142))/10, AC$24-$I142 &gt;=11, 0),
_xlfn.IFS(AC$24-$I142 &lt;=1, 5/6, AC$24-$I142 &lt;=5, (7-(AC$24-$I142))/6, AND(AC$24-$I142 =6,NOT(_xlfn.IFNA(ISNUMBER(SEARCH("Rending",$L142)),FALSE))), (7-(AC$24-$I142))/6, AND(AC$24-$I142 &gt;=7,NOT(_xlfn.IFNA(ISNUMBER(SEARCH("Rending",$L142)),FALSE))), 0, AC$24-$I142 =7, (7-(AC$24-1-$I142))/6, AC$24-$I142 =8, (7-(AC$24-2-$I142))/6*2/3, AC$24-$I142 =9, (7-(AC$24-3-$I142))/6*1/3, TRUE, 0)) *
IF(ISNUMBER(SEARCH("Ordinance",$L142)),7/6,1) *
IF(OR(ISNUMBER(SEARCH("Melee",$L142)),ISNUMBER(SEARCH("Bypass",$L142))),1.5,1)</f>
        <v>0</v>
      </c>
      <c r="AD142" s="17" cm="1">
        <f t="array" ref="AD142">$H142 *
IF(ISNUMBER(SEARCH("Rapid",$L142)),7/6,1) *
IF(OR(ISNUMBER(SEARCH("Beam",$L142)),ISNUMBER(SEARCH("Firestorm",$L142))),1, IF(ISNUMBER(SEARCH("Blast",$L142)),(4+$F142+(2-$F142)*0.5)/6*2,(4+$F142)/6)) *
IF(ISNUMBER(SEARCH("Fusion",$L142)), _xlfn.IFS(AD$24-$I142 &lt;=1, 9/10, AD$24-$I142 &lt;=10,(11-(AD$24-$I142))/10, AD$24-$I142 &gt;=11, 0),
_xlfn.IFS(AD$24-$I142 &lt;=1, 5/6, AD$24-$I142 &lt;=5, (7-(AD$24-$I142))/6, AND(AD$24-$I142 =6,NOT(_xlfn.IFNA(ISNUMBER(SEARCH("Rending",$L142)),FALSE))), (7-(AD$24-$I142))/6, AND(AD$24-$I142 &gt;=7,NOT(_xlfn.IFNA(ISNUMBER(SEARCH("Rending",$L142)),FALSE))), 0, AD$24-$I142 =7, (7-(AD$24-1-$I142))/6, AD$24-$I142 =8, (7-(AD$24-2-$I142))/6*2/3, AD$24-$I142 =9, (7-(AD$24-3-$I142))/6*1/3, TRUE, 0)) *
IF(ISNUMBER(SEARCH("Ordinance",$L142)),7/6,1) *
IF(OR(ISNUMBER(SEARCH("Melee",$L142)),ISNUMBER(SEARCH("Bypass",$L142))),1.5,1)</f>
        <v>0</v>
      </c>
      <c r="AE142" s="17" cm="1">
        <f t="array" ref="AE142">$H142 *
IF(ISNUMBER(SEARCH("Rapid",$L142)),7/6,1) *
IF(OR(ISNUMBER(SEARCH("Beam",$L142)),ISNUMBER(SEARCH("Firestorm",$L142))),1, IF(ISNUMBER(SEARCH("Blast",$L142)),(4+$F142+(2-$F142)*0.5)/6*2,(4+$F142)/6)) *
IF(ISNUMBER(SEARCH("Fusion",$L142)), _xlfn.IFS(AE$24-$I142 &lt;=1, 9/10, AE$24-$I142 &lt;=10,(11-(AE$24-$I142))/10, AE$24-$I142 &gt;=11, 0),
_xlfn.IFS(AE$24-$I142 &lt;=1, 5/6, AE$24-$I142 &lt;=5, (7-(AE$24-$I142))/6, AND(AE$24-$I142 =6,NOT(_xlfn.IFNA(ISNUMBER(SEARCH("Rending",$L142)),FALSE))), (7-(AE$24-$I142))/6, AND(AE$24-$I142 &gt;=7,NOT(_xlfn.IFNA(ISNUMBER(SEARCH("Rending",$L142)),FALSE))), 0, AE$24-$I142 =7, (7-(AE$24-1-$I142))/6, AE$24-$I142 =8, (7-(AE$24-2-$I142))/6*2/3, AE$24-$I142 =9, (7-(AE$24-3-$I142))/6*1/3, TRUE, 0)) *
IF(ISNUMBER(SEARCH("Ordinance",$L142)),7/6,1) *
IF(OR(ISNUMBER(SEARCH("Melee",$L142)),ISNUMBER(SEARCH("Bypass",$L142))),1.5,1)</f>
        <v>0</v>
      </c>
      <c r="AF142" s="17" cm="1">
        <f t="array" ref="AF142">$H142 *
IF(ISNUMBER(SEARCH("Rapid",$L142)),7/6,1) *
IF(OR(ISNUMBER(SEARCH("Beam",$L142)),ISNUMBER(SEARCH("Firestorm",$L142))),1, IF(ISNUMBER(SEARCH("Blast",$L142)),(4+$F142+(2-$F142)*0.5)/6*2,(4+$F142)/6)) *
IF(ISNUMBER(SEARCH("Fusion",$L142)), _xlfn.IFS(AF$24-$I142 &lt;=1, 9/10, AF$24-$I142 &lt;=10,(11-(AF$24-$I142))/10, AF$24-$I142 &gt;=11, 0),
_xlfn.IFS(AF$24-$I142 &lt;=1, 5/6, AF$24-$I142 &lt;=5, (7-(AF$24-$I142))/6, AND(AF$24-$I142 =6,NOT(_xlfn.IFNA(ISNUMBER(SEARCH("Rending",$L142)),FALSE))), (7-(AF$24-$I142))/6, AND(AF$24-$I142 &gt;=7,NOT(_xlfn.IFNA(ISNUMBER(SEARCH("Rending",$L142)),FALSE))), 0, AF$24-$I142 =7, (7-(AF$24-1-$I142))/6, AF$24-$I142 =8, (7-(AF$24-2-$I142))/6*2/3, AF$24-$I142 =9, (7-(AF$24-3-$I142))/6*1/3, TRUE, 0)) *
IF(ISNUMBER(SEARCH("Ordinance",$L142)),7/6,1) *
IF(OR(ISNUMBER(SEARCH("Melee",$L142)),ISNUMBER(SEARCH("Bypass",$L142))),1.5,1)</f>
        <v>0</v>
      </c>
      <c r="AG142" s="16">
        <f t="shared" si="35"/>
        <v>0</v>
      </c>
      <c r="AH142" s="16">
        <f t="shared" si="36"/>
        <v>0</v>
      </c>
      <c r="AI142" s="17" cm="1">
        <f t="array" ref="AI142">$H142 *
IF(ISNUMBER(SEARCH("Rapid",$L142)),7/6,1) *
IF(OR(ISNUMBER(SEARCH("Beam",$L142)),ISNUMBER(SEARCH("Firestorm",$L142))),1, IF(ISNUMBER(SEARCH("Blast",$L142)),(4+$G142+(2-$G142)*0.5)/6*2,(4+$G142)/6)) *
_xlfn.IFS(AI$24-$I142 &lt;=1, 5/6, AI$24-$I142 &lt;=5, (7-(AI$24-$I142))/6, AND(AI$24-$I142 =6,NOT(_xlfn.IFNA(ISNUMBER(SEARCH("Rending",$L142)),FALSE))), (7-(AI$24-$I142))/6, AND(AI$24-$I142 &gt;=7,NOT(_xlfn.IFNA(ISNUMBER(SEARCH("Rending",$L142)),FALSE))), 0, AI$24-$I142 =7, (7-(AI$24-1-$I142))/6, AI$24-$I142 =8, (7-(AI$24-2-$I142))/6*2/3, AI$24-$I142 =9, (7-(AI$24-3-$I142))/6*1/3, TRUE, 0) *
IF(ISNUMBER(SEARCH("Ordinance",$L142)),7/6,1) *
IF(OR(ISNUMBER(SEARCH("Melee",$L142)),ISNUMBER(SEARCH("Bypass",$L142))),1.5,1)</f>
        <v>0</v>
      </c>
      <c r="AJ142" s="17" cm="1">
        <f t="array" ref="AJ142">$H142 *
IF(ISNUMBER(SEARCH("Rapid",$L142)),7/6,1) *
IF(OR(ISNUMBER(SEARCH("Beam",$L142)),ISNUMBER(SEARCH("Firestorm",$L142))),1, IF(ISNUMBER(SEARCH("Blast",$L142)),(4+$G142+(2-$G142)*0.5)/6*2,(4+$G142)/6)) *
_xlfn.IFS(AJ$24-$I142 &lt;=1, 5/6, AJ$24-$I142 &lt;=5, (7-(AJ$24-$I142))/6, AND(AJ$24-$I142 =6,NOT(_xlfn.IFNA(ISNUMBER(SEARCH("Rending",$L142)),FALSE))), (7-(AJ$24-$I142))/6, AND(AJ$24-$I142 &gt;=7,NOT(_xlfn.IFNA(ISNUMBER(SEARCH("Rending",$L142)),FALSE))), 0, AJ$24-$I142 =7, (7-(AJ$24-1-$I142))/6, AJ$24-$I142 =8, (7-(AJ$24-2-$I142))/6*2/3, AJ$24-$I142 =9, (7-(AJ$24-3-$I142))/6*1/3, TRUE, 0) *
IF(ISNUMBER(SEARCH("Ordinance",$L142)),7/6,1) *
IF(OR(ISNUMBER(SEARCH("Melee",$L142)),ISNUMBER(SEARCH("Bypass",$L142))),1.5,1)</f>
        <v>0</v>
      </c>
      <c r="AK142" s="17" cm="1">
        <f t="array" ref="AK142">$H142 *
IF(ISNUMBER(SEARCH("Rapid",$L142)),7/6,1) *
IF(OR(ISNUMBER(SEARCH("Beam",$L142)),ISNUMBER(SEARCH("Firestorm",$L142))),1, IF(ISNUMBER(SEARCH("Blast",$L142)),(4+$G142+(2-$G142)*0.5)/6*2,(4+$G142)/6)) *
_xlfn.IFS(AK$24-$I142 &lt;=1, 5/6, AK$24-$I142 &lt;=5, (7-(AK$24-$I142))/6, AND(AK$24-$I142 =6,NOT(_xlfn.IFNA(ISNUMBER(SEARCH("Rending",$L142)),FALSE))), (7-(AK$24-$I142))/6, AND(AK$24-$I142 &gt;=7,NOT(_xlfn.IFNA(ISNUMBER(SEARCH("Rending",$L142)),FALSE))), 0, AK$24-$I142 =7, (7-(AK$24-1-$I142))/6, AK$24-$I142 =8, (7-(AK$24-2-$I142))/6*2/3, AK$24-$I142 =9, (7-(AK$24-3-$I142))/6*1/3, TRUE, 0) *
IF(ISNUMBER(SEARCH("Ordinance",$L142)),7/6,1) *
IF(OR(ISNUMBER(SEARCH("Melee",$L142)),ISNUMBER(SEARCH("Bypass",$L142))),1.5,1)</f>
        <v>0</v>
      </c>
      <c r="AL142" s="17" cm="1">
        <f t="array" ref="AL142">$H142 *
IF(ISNUMBER(SEARCH("Rapid",$L142)),7/6,1) *
IF(OR(ISNUMBER(SEARCH("Beam",$L142)),ISNUMBER(SEARCH("Firestorm",$L142))),1, IF(ISNUMBER(SEARCH("Blast",$L142)),(4+$G142+(2-$G142)*0.5)/6*2,(4+$G142)/6)) *
_xlfn.IFS(AL$24-$I142 &lt;=1, 5/6, AL$24-$I142 &lt;=5, (7-(AL$24-$I142))/6, AND(AL$24-$I142 =6,NOT(_xlfn.IFNA(ISNUMBER(SEARCH("Rending",$L142)),FALSE))), (7-(AL$24-$I142))/6, AND(AL$24-$I142 &gt;=7,NOT(_xlfn.IFNA(ISNUMBER(SEARCH("Rending",$L142)),FALSE))), 0, AL$24-$I142 =7, (7-(AL$24-1-$I142))/6, AL$24-$I142 =8, (7-(AL$24-2-$I142))/6*2/3, AL$24-$I142 =9, (7-(AL$24-3-$I142))/6*1/3, TRUE, 0) *
IF(ISNUMBER(SEARCH("Ordinance",$L142)),7/6,1) *
IF(OR(ISNUMBER(SEARCH("Melee",$L142)),ISNUMBER(SEARCH("Bypass",$L142))),1.5,1)</f>
        <v>0</v>
      </c>
      <c r="AM142" s="17" cm="1">
        <f t="array" ref="AM142">$H142 *
IF(ISNUMBER(SEARCH("Rapid",$L142)),7/6,1) *
IF(OR(ISNUMBER(SEARCH("Beam",$L142)),ISNUMBER(SEARCH("Firestorm",$L142))),1, IF(ISNUMBER(SEARCH("Blast",$L142)),(4+$G142+(2-$G142)*0.5)/6*2,(4+$G142)/6)) *
_xlfn.IFS(AM$24-$I142 &lt;=1, 5/6, AM$24-$I142 &lt;=5, (7-(AM$24-$I142))/6, AND(AM$24-$I142 =6,NOT(_xlfn.IFNA(ISNUMBER(SEARCH("Rending",$L142)),FALSE))), (7-(AM$24-$I142))/6, AND(AM$24-$I142 &gt;=7,NOT(_xlfn.IFNA(ISNUMBER(SEARCH("Rending",$L142)),FALSE))), 0, AM$24-$I142 =7, (7-(AM$24-1-$I142))/6, AM$24-$I142 =8, (7-(AM$24-2-$I142))/6*2/3, AM$24-$I142 =9, (7-(AM$24-3-$I142))/6*1/3, TRUE, 0) *
IF(ISNUMBER(SEARCH("Ordinance",$L142)),7/6,1) *
IF(OR(ISNUMBER(SEARCH("Melee",$L142)),ISNUMBER(SEARCH("Bypass",$L142))),1.5,1)</f>
        <v>0</v>
      </c>
      <c r="AN142" s="17" cm="1">
        <f t="array" ref="AN142">$H142 *
IF(ISNUMBER(SEARCH("Rapid",$L142)),7/6,1) *
IF(OR(ISNUMBER(SEARCH("Beam",$L142)),ISNUMBER(SEARCH("Firestorm",$L142))),1, IF(ISNUMBER(SEARCH("Blast",$L142)),(4+$G142+(2-$G142)*0.5)/6*2,(4+$G142)/6)) *
_xlfn.IFS(AN$24-$I142 &lt;=1, 5/6, AN$24-$I142 &lt;=5, (7-(AN$24-$I142))/6, AND(AN$24-$I142 =6,NOT(_xlfn.IFNA(ISNUMBER(SEARCH("Rending",$L142)),FALSE))), (7-(AN$24-$I142))/6, AND(AN$24-$I142 &gt;=7,NOT(_xlfn.IFNA(ISNUMBER(SEARCH("Rending",$L142)),FALSE))), 0, AN$24-$I142 =7, (7-(AN$24-1-$I142))/6, AN$24-$I142 =8, (7-(AN$24-2-$I142))/6*2/3, AN$24-$I142 =9, (7-(AN$24-3-$I142))/6*1/3, TRUE, 0) *
IF(ISNUMBER(SEARCH("Ordinance",$L142)),7/6,1) *
IF(OR(ISNUMBER(SEARCH("Melee",$L142)),ISNUMBER(SEARCH("Bypass",$L142))),1.5,1)</f>
        <v>0</v>
      </c>
      <c r="AO142" s="17" cm="1">
        <f t="array" ref="AO142">$H142 *
IF(ISNUMBER(SEARCH("Rapid",$L142)),7/6,1) *
IF(OR(ISNUMBER(SEARCH("Beam",$L142)),ISNUMBER(SEARCH("Firestorm",$L142))),1, IF(ISNUMBER(SEARCH("Blast",$L142)),(4+$G142+(2-$G142)*0.5)/6*2,(4+$G142)/6)) *
_xlfn.IFS(AO$24-$I142 &lt;=1, 5/6, AO$24-$I142 &lt;=5, (7-(AO$24-$I142))/6, AND(AO$24-$I142 =6,NOT(_xlfn.IFNA(ISNUMBER(SEARCH("Rending",$L142)),FALSE))), (7-(AO$24-$I142))/6, AND(AO$24-$I142 &gt;=7,NOT(_xlfn.IFNA(ISNUMBER(SEARCH("Rending",$L142)),FALSE))), 0, AO$24-$I142 =7, (7-(AO$24-1-$I142))/6, AO$24-$I142 =8, (7-(AO$24-2-$I142))/6*2/3, AO$24-$I142 =9, (7-(AO$24-3-$I142))/6*1/3, TRUE, 0) *
IF(ISNUMBER(SEARCH("Ordinance",$L142)),7/6,1) *
IF(OR(ISNUMBER(SEARCH("Melee",$L142)),ISNUMBER(SEARCH("Bypass",$L142))),1.5,1)</f>
        <v>0</v>
      </c>
      <c r="AP142" s="17" cm="1">
        <f t="array" ref="AP142">$H142 *
IF(ISNUMBER(SEARCH("Rapid",$L142)),7/6,1) *
IF(OR(ISNUMBER(SEARCH("Beam",$L142)),ISNUMBER(SEARCH("Firestorm",$L142))),1, IF(ISNUMBER(SEARCH("Blast",$L142)),(4+$G142+(2-$G142)*0.5)/6*2,(4+$G142)/6)) *
_xlfn.IFS(AP$24-$I142 &lt;=1, 5/6, AP$24-$I142 &lt;=5, (7-(AP$24-$I142))/6, AND(AP$24-$I142 =6,NOT(_xlfn.IFNA(ISNUMBER(SEARCH("Rending",$L142)),FALSE))), (7-(AP$24-$I142))/6, AND(AP$24-$I142 &gt;=7,NOT(_xlfn.IFNA(ISNUMBER(SEARCH("Rending",$L142)),FALSE))), 0, AP$24-$I142 =7, (7-(AP$24-1-$I142))/6, AP$24-$I142 =8, (7-(AP$24-2-$I142))/6*2/3, AP$24-$I142 =9, (7-(AP$24-3-$I142))/6*1/3, TRUE, 0) *
IF(ISNUMBER(SEARCH("Ordinance",$L142)),7/6,1) *
IF(OR(ISNUMBER(SEARCH("Melee",$L142)),ISNUMBER(SEARCH("Bypass",$L142))),1.5,1)</f>
        <v>0</v>
      </c>
      <c r="AQ142" s="17" cm="1">
        <f t="array" ref="AQ142">$H142 *
IF(ISNUMBER(SEARCH("Rapid",$L142)),7/6,1) *
IF(OR(ISNUMBER(SEARCH("Beam",$L142)),ISNUMBER(SEARCH("Firestorm",$L142))),1, IF(ISNUMBER(SEARCH("Blast",$L142)),(4+$G142+(2-$G142)*0.5)/6*2,(4+$G142)/6)) *
_xlfn.IFS(AQ$24-$I142 &lt;=1, 5/6, AQ$24-$I142 &lt;=5, (7-(AQ$24-$I142))/6, AND(AQ$24-$I142 =6,NOT(_xlfn.IFNA(ISNUMBER(SEARCH("Rending",$L142)),FALSE))), (7-(AQ$24-$I142))/6, AND(AQ$24-$I142 &gt;=7,NOT(_xlfn.IFNA(ISNUMBER(SEARCH("Rending",$L142)),FALSE))), 0, AQ$24-$I142 =7, (7-(AQ$24-1-$I142))/6, AQ$24-$I142 =8, (7-(AQ$24-2-$I142))/6*2/3, AQ$24-$I142 =9, (7-(AQ$24-3-$I142))/6*1/3, TRUE, 0) *
IF(ISNUMBER(SEARCH("Ordinance",$L142)),7/6,1) *
IF(OR(ISNUMBER(SEARCH("Melee",$L142)),ISNUMBER(SEARCH("Bypass",$L142))),1.5,1)</f>
        <v>0</v>
      </c>
    </row>
    <row r="143" spans="1:48" x14ac:dyDescent="0.3">
      <c r="F143" s="10"/>
      <c r="G143" s="10"/>
      <c r="V143" s="16">
        <f t="shared" si="33"/>
        <v>0</v>
      </c>
      <c r="W143" s="16">
        <f t="shared" si="34"/>
        <v>0</v>
      </c>
      <c r="X143" s="17" cm="1">
        <f t="array" ref="X143">$H143 *
IF(ISNUMBER(SEARCH("Rapid",$L143)),7/6,1) *
IF(OR(ISNUMBER(SEARCH("Beam",$L143)),ISNUMBER(SEARCH("Firestorm",$L143))),1, IF(ISNUMBER(SEARCH("Blast",$L143)),(4+$F143+(2-$F143)*0.5)/6*2,(4+$F143)/6)) *
IF(ISNUMBER(SEARCH("Fusion",$L143)), _xlfn.IFS(X$24-$I143 &lt;=1, 9/10, X$24-$I143 &lt;=10,(11-(X$24-$I143))/10, X$24-$I143 &gt;=11, 0),
_xlfn.IFS(X$24-$I143 &lt;=1, 5/6, X$24-$I143 &lt;=5, (7-(X$24-$I143))/6, AND(X$24-$I143 =6,NOT(_xlfn.IFNA(ISNUMBER(SEARCH("Rending",$L143)),FALSE))), (7-(X$24-$I143))/6, AND(X$24-$I143 &gt;=7,NOT(_xlfn.IFNA(ISNUMBER(SEARCH("Rending",$L143)),FALSE))), 0, X$24-$I143 =7, (7-(X$24-1-$I143))/6, X$24-$I143 =8, (7-(X$24-2-$I143))/6*2/3, X$24-$I143 =9, (7-(X$24-3-$I143))/6*1/3, TRUE, 0)) *
IF(ISNUMBER(SEARCH("Ordinance",$L143)),7/6,1) *
IF(OR(ISNUMBER(SEARCH("Melee",$L143)),ISNUMBER(SEARCH("Bypass",$L143))),1.5,1)</f>
        <v>0</v>
      </c>
      <c r="Y143" s="17" cm="1">
        <f t="array" ref="Y143">$H143 *
IF(ISNUMBER(SEARCH("Rapid",$L143)),7/6,1) *
IF(OR(ISNUMBER(SEARCH("Beam",$L143)),ISNUMBER(SEARCH("Firestorm",$L143))),1, IF(ISNUMBER(SEARCH("Blast",$L143)),(4+$F143+(2-$F143)*0.5)/6*2,(4+$F143)/6)) *
IF(ISNUMBER(SEARCH("Fusion",$L143)), _xlfn.IFS(Y$24-$I143 &lt;=1, 9/10, Y$24-$I143 &lt;=10,(11-(Y$24-$I143))/10, Y$24-$I143 &gt;=11, 0),
_xlfn.IFS(Y$24-$I143 &lt;=1, 5/6, Y$24-$I143 &lt;=5, (7-(Y$24-$I143))/6, AND(Y$24-$I143 =6,NOT(_xlfn.IFNA(ISNUMBER(SEARCH("Rending",$L143)),FALSE))), (7-(Y$24-$I143))/6, AND(Y$24-$I143 &gt;=7,NOT(_xlfn.IFNA(ISNUMBER(SEARCH("Rending",$L143)),FALSE))), 0, Y$24-$I143 =7, (7-(Y$24-1-$I143))/6, Y$24-$I143 =8, (7-(Y$24-2-$I143))/6*2/3, Y$24-$I143 =9, (7-(Y$24-3-$I143))/6*1/3, TRUE, 0)) *
IF(ISNUMBER(SEARCH("Ordinance",$L143)),7/6,1) *
IF(OR(ISNUMBER(SEARCH("Melee",$L143)),ISNUMBER(SEARCH("Bypass",$L143))),1.5,1)</f>
        <v>0</v>
      </c>
      <c r="Z143" s="17" cm="1">
        <f t="array" ref="Z143">$H143 *
IF(ISNUMBER(SEARCH("Rapid",$L143)),7/6,1) *
IF(OR(ISNUMBER(SEARCH("Beam",$L143)),ISNUMBER(SEARCH("Firestorm",$L143))),1, IF(ISNUMBER(SEARCH("Blast",$L143)),(4+$F143+(2-$F143)*0.5)/6*2,(4+$F143)/6)) *
IF(ISNUMBER(SEARCH("Fusion",$L143)), _xlfn.IFS(Z$24-$I143 &lt;=1, 9/10, Z$24-$I143 &lt;=10,(11-(Z$24-$I143))/10, Z$24-$I143 &gt;=11, 0),
_xlfn.IFS(Z$24-$I143 &lt;=1, 5/6, Z$24-$I143 &lt;=5, (7-(Z$24-$I143))/6, AND(Z$24-$I143 =6,NOT(_xlfn.IFNA(ISNUMBER(SEARCH("Rending",$L143)),FALSE))), (7-(Z$24-$I143))/6, AND(Z$24-$I143 &gt;=7,NOT(_xlfn.IFNA(ISNUMBER(SEARCH("Rending",$L143)),FALSE))), 0, Z$24-$I143 =7, (7-(Z$24-1-$I143))/6, Z$24-$I143 =8, (7-(Z$24-2-$I143))/6*2/3, Z$24-$I143 =9, (7-(Z$24-3-$I143))/6*1/3, TRUE, 0)) *
IF(ISNUMBER(SEARCH("Ordinance",$L143)),7/6,1) *
IF(OR(ISNUMBER(SEARCH("Melee",$L143)),ISNUMBER(SEARCH("Bypass",$L143))),1.5,1)</f>
        <v>0</v>
      </c>
      <c r="AA143" s="17" cm="1">
        <f t="array" ref="AA143">$H143 *
IF(ISNUMBER(SEARCH("Rapid",$L143)),7/6,1) *
IF(OR(ISNUMBER(SEARCH("Beam",$L143)),ISNUMBER(SEARCH("Firestorm",$L143))),1, IF(ISNUMBER(SEARCH("Blast",$L143)),(4+$F143+(2-$F143)*0.5)/6*2,(4+$F143)/6)) *
IF(ISNUMBER(SEARCH("Fusion",$L143)), _xlfn.IFS(AA$24-$I143 &lt;=1, 9/10, AA$24-$I143 &lt;=10,(11-(AA$24-$I143))/10, AA$24-$I143 &gt;=11, 0),
_xlfn.IFS(AA$24-$I143 &lt;=1, 5/6, AA$24-$I143 &lt;=5, (7-(AA$24-$I143))/6, AND(AA$24-$I143 =6,NOT(_xlfn.IFNA(ISNUMBER(SEARCH("Rending",$L143)),FALSE))), (7-(AA$24-$I143))/6, AND(AA$24-$I143 &gt;=7,NOT(_xlfn.IFNA(ISNUMBER(SEARCH("Rending",$L143)),FALSE))), 0, AA$24-$I143 =7, (7-(AA$24-1-$I143))/6, AA$24-$I143 =8, (7-(AA$24-2-$I143))/6*2/3, AA$24-$I143 =9, (7-(AA$24-3-$I143))/6*1/3, TRUE, 0)) *
IF(ISNUMBER(SEARCH("Ordinance",$L143)),7/6,1) *
IF(OR(ISNUMBER(SEARCH("Melee",$L143)),ISNUMBER(SEARCH("Bypass",$L143))),1.5,1)</f>
        <v>0</v>
      </c>
      <c r="AB143" s="17" cm="1">
        <f t="array" ref="AB143">$H143 *
IF(ISNUMBER(SEARCH("Rapid",$L143)),7/6,1) *
IF(OR(ISNUMBER(SEARCH("Beam",$L143)),ISNUMBER(SEARCH("Firestorm",$L143))),1, IF(ISNUMBER(SEARCH("Blast",$L143)),(4+$F143+(2-$F143)*0.5)/6*2,(4+$F143)/6)) *
IF(ISNUMBER(SEARCH("Fusion",$L143)), _xlfn.IFS(AB$24-$I143 &lt;=1, 9/10, AB$24-$I143 &lt;=10,(11-(AB$24-$I143))/10, AB$24-$I143 &gt;=11, 0),
_xlfn.IFS(AB$24-$I143 &lt;=1, 5/6, AB$24-$I143 &lt;=5, (7-(AB$24-$I143))/6, AND(AB$24-$I143 =6,NOT(_xlfn.IFNA(ISNUMBER(SEARCH("Rending",$L143)),FALSE))), (7-(AB$24-$I143))/6, AND(AB$24-$I143 &gt;=7,NOT(_xlfn.IFNA(ISNUMBER(SEARCH("Rending",$L143)),FALSE))), 0, AB$24-$I143 =7, (7-(AB$24-1-$I143))/6, AB$24-$I143 =8, (7-(AB$24-2-$I143))/6*2/3, AB$24-$I143 =9, (7-(AB$24-3-$I143))/6*1/3, TRUE, 0)) *
IF(ISNUMBER(SEARCH("Ordinance",$L143)),7/6,1) *
IF(OR(ISNUMBER(SEARCH("Melee",$L143)),ISNUMBER(SEARCH("Bypass",$L143))),1.5,1)</f>
        <v>0</v>
      </c>
      <c r="AC143" s="17" cm="1">
        <f t="array" ref="AC143">$H143 *
IF(ISNUMBER(SEARCH("Rapid",$L143)),7/6,1) *
IF(OR(ISNUMBER(SEARCH("Beam",$L143)),ISNUMBER(SEARCH("Firestorm",$L143))),1, IF(ISNUMBER(SEARCH("Blast",$L143)),(4+$F143+(2-$F143)*0.5)/6*2,(4+$F143)/6)) *
IF(ISNUMBER(SEARCH("Fusion",$L143)), _xlfn.IFS(AC$24-$I143 &lt;=1, 9/10, AC$24-$I143 &lt;=10,(11-(AC$24-$I143))/10, AC$24-$I143 &gt;=11, 0),
_xlfn.IFS(AC$24-$I143 &lt;=1, 5/6, AC$24-$I143 &lt;=5, (7-(AC$24-$I143))/6, AND(AC$24-$I143 =6,NOT(_xlfn.IFNA(ISNUMBER(SEARCH("Rending",$L143)),FALSE))), (7-(AC$24-$I143))/6, AND(AC$24-$I143 &gt;=7,NOT(_xlfn.IFNA(ISNUMBER(SEARCH("Rending",$L143)),FALSE))), 0, AC$24-$I143 =7, (7-(AC$24-1-$I143))/6, AC$24-$I143 =8, (7-(AC$24-2-$I143))/6*2/3, AC$24-$I143 =9, (7-(AC$24-3-$I143))/6*1/3, TRUE, 0)) *
IF(ISNUMBER(SEARCH("Ordinance",$L143)),7/6,1) *
IF(OR(ISNUMBER(SEARCH("Melee",$L143)),ISNUMBER(SEARCH("Bypass",$L143))),1.5,1)</f>
        <v>0</v>
      </c>
      <c r="AD143" s="17" cm="1">
        <f t="array" ref="AD143">$H143 *
IF(ISNUMBER(SEARCH("Rapid",$L143)),7/6,1) *
IF(OR(ISNUMBER(SEARCH("Beam",$L143)),ISNUMBER(SEARCH("Firestorm",$L143))),1, IF(ISNUMBER(SEARCH("Blast",$L143)),(4+$F143+(2-$F143)*0.5)/6*2,(4+$F143)/6)) *
IF(ISNUMBER(SEARCH("Fusion",$L143)), _xlfn.IFS(AD$24-$I143 &lt;=1, 9/10, AD$24-$I143 &lt;=10,(11-(AD$24-$I143))/10, AD$24-$I143 &gt;=11, 0),
_xlfn.IFS(AD$24-$I143 &lt;=1, 5/6, AD$24-$I143 &lt;=5, (7-(AD$24-$I143))/6, AND(AD$24-$I143 =6,NOT(_xlfn.IFNA(ISNUMBER(SEARCH("Rending",$L143)),FALSE))), (7-(AD$24-$I143))/6, AND(AD$24-$I143 &gt;=7,NOT(_xlfn.IFNA(ISNUMBER(SEARCH("Rending",$L143)),FALSE))), 0, AD$24-$I143 =7, (7-(AD$24-1-$I143))/6, AD$24-$I143 =8, (7-(AD$24-2-$I143))/6*2/3, AD$24-$I143 =9, (7-(AD$24-3-$I143))/6*1/3, TRUE, 0)) *
IF(ISNUMBER(SEARCH("Ordinance",$L143)),7/6,1) *
IF(OR(ISNUMBER(SEARCH("Melee",$L143)),ISNUMBER(SEARCH("Bypass",$L143))),1.5,1)</f>
        <v>0</v>
      </c>
      <c r="AE143" s="17" cm="1">
        <f t="array" ref="AE143">$H143 *
IF(ISNUMBER(SEARCH("Rapid",$L143)),7/6,1) *
IF(OR(ISNUMBER(SEARCH("Beam",$L143)),ISNUMBER(SEARCH("Firestorm",$L143))),1, IF(ISNUMBER(SEARCH("Blast",$L143)),(4+$F143+(2-$F143)*0.5)/6*2,(4+$F143)/6)) *
IF(ISNUMBER(SEARCH("Fusion",$L143)), _xlfn.IFS(AE$24-$I143 &lt;=1, 9/10, AE$24-$I143 &lt;=10,(11-(AE$24-$I143))/10, AE$24-$I143 &gt;=11, 0),
_xlfn.IFS(AE$24-$I143 &lt;=1, 5/6, AE$24-$I143 &lt;=5, (7-(AE$24-$I143))/6, AND(AE$24-$I143 =6,NOT(_xlfn.IFNA(ISNUMBER(SEARCH("Rending",$L143)),FALSE))), (7-(AE$24-$I143))/6, AND(AE$24-$I143 &gt;=7,NOT(_xlfn.IFNA(ISNUMBER(SEARCH("Rending",$L143)),FALSE))), 0, AE$24-$I143 =7, (7-(AE$24-1-$I143))/6, AE$24-$I143 =8, (7-(AE$24-2-$I143))/6*2/3, AE$24-$I143 =9, (7-(AE$24-3-$I143))/6*1/3, TRUE, 0)) *
IF(ISNUMBER(SEARCH("Ordinance",$L143)),7/6,1) *
IF(OR(ISNUMBER(SEARCH("Melee",$L143)),ISNUMBER(SEARCH("Bypass",$L143))),1.5,1)</f>
        <v>0</v>
      </c>
      <c r="AF143" s="17" cm="1">
        <f t="array" ref="AF143">$H143 *
IF(ISNUMBER(SEARCH("Rapid",$L143)),7/6,1) *
IF(OR(ISNUMBER(SEARCH("Beam",$L143)),ISNUMBER(SEARCH("Firestorm",$L143))),1, IF(ISNUMBER(SEARCH("Blast",$L143)),(4+$F143+(2-$F143)*0.5)/6*2,(4+$F143)/6)) *
IF(ISNUMBER(SEARCH("Fusion",$L143)), _xlfn.IFS(AF$24-$I143 &lt;=1, 9/10, AF$24-$I143 &lt;=10,(11-(AF$24-$I143))/10, AF$24-$I143 &gt;=11, 0),
_xlfn.IFS(AF$24-$I143 &lt;=1, 5/6, AF$24-$I143 &lt;=5, (7-(AF$24-$I143))/6, AND(AF$24-$I143 =6,NOT(_xlfn.IFNA(ISNUMBER(SEARCH("Rending",$L143)),FALSE))), (7-(AF$24-$I143))/6, AND(AF$24-$I143 &gt;=7,NOT(_xlfn.IFNA(ISNUMBER(SEARCH("Rending",$L143)),FALSE))), 0, AF$24-$I143 =7, (7-(AF$24-1-$I143))/6, AF$24-$I143 =8, (7-(AF$24-2-$I143))/6*2/3, AF$24-$I143 =9, (7-(AF$24-3-$I143))/6*1/3, TRUE, 0)) *
IF(ISNUMBER(SEARCH("Ordinance",$L143)),7/6,1) *
IF(OR(ISNUMBER(SEARCH("Melee",$L143)),ISNUMBER(SEARCH("Bypass",$L143))),1.5,1)</f>
        <v>0</v>
      </c>
      <c r="AG143" s="16">
        <f t="shared" si="35"/>
        <v>0</v>
      </c>
      <c r="AH143" s="16">
        <f t="shared" si="36"/>
        <v>0</v>
      </c>
      <c r="AI143" s="17" cm="1">
        <f t="array" ref="AI143">$H143 *
IF(ISNUMBER(SEARCH("Rapid",$L143)),7/6,1) *
IF(OR(ISNUMBER(SEARCH("Beam",$L143)),ISNUMBER(SEARCH("Firestorm",$L143))),1, IF(ISNUMBER(SEARCH("Blast",$L143)),(4+$G143+(2-$G143)*0.5)/6*2,(4+$G143)/6)) *
_xlfn.IFS(AI$24-$I143 &lt;=1, 5/6, AI$24-$I143 &lt;=5, (7-(AI$24-$I143))/6, AND(AI$24-$I143 =6,NOT(_xlfn.IFNA(ISNUMBER(SEARCH("Rending",$L143)),FALSE))), (7-(AI$24-$I143))/6, AND(AI$24-$I143 &gt;=7,NOT(_xlfn.IFNA(ISNUMBER(SEARCH("Rending",$L143)),FALSE))), 0, AI$24-$I143 =7, (7-(AI$24-1-$I143))/6, AI$24-$I143 =8, (7-(AI$24-2-$I143))/6*2/3, AI$24-$I143 =9, (7-(AI$24-3-$I143))/6*1/3, TRUE, 0) *
IF(ISNUMBER(SEARCH("Ordinance",$L143)),7/6,1) *
IF(OR(ISNUMBER(SEARCH("Melee",$L143)),ISNUMBER(SEARCH("Bypass",$L143))),1.5,1)</f>
        <v>0</v>
      </c>
      <c r="AJ143" s="17" cm="1">
        <f t="array" ref="AJ143">$H143 *
IF(ISNUMBER(SEARCH("Rapid",$L143)),7/6,1) *
IF(OR(ISNUMBER(SEARCH("Beam",$L143)),ISNUMBER(SEARCH("Firestorm",$L143))),1, IF(ISNUMBER(SEARCH("Blast",$L143)),(4+$G143+(2-$G143)*0.5)/6*2,(4+$G143)/6)) *
_xlfn.IFS(AJ$24-$I143 &lt;=1, 5/6, AJ$24-$I143 &lt;=5, (7-(AJ$24-$I143))/6, AND(AJ$24-$I143 =6,NOT(_xlfn.IFNA(ISNUMBER(SEARCH("Rending",$L143)),FALSE))), (7-(AJ$24-$I143))/6, AND(AJ$24-$I143 &gt;=7,NOT(_xlfn.IFNA(ISNUMBER(SEARCH("Rending",$L143)),FALSE))), 0, AJ$24-$I143 =7, (7-(AJ$24-1-$I143))/6, AJ$24-$I143 =8, (7-(AJ$24-2-$I143))/6*2/3, AJ$24-$I143 =9, (7-(AJ$24-3-$I143))/6*1/3, TRUE, 0) *
IF(ISNUMBER(SEARCH("Ordinance",$L143)),7/6,1) *
IF(OR(ISNUMBER(SEARCH("Melee",$L143)),ISNUMBER(SEARCH("Bypass",$L143))),1.5,1)</f>
        <v>0</v>
      </c>
      <c r="AK143" s="17" cm="1">
        <f t="array" ref="AK143">$H143 *
IF(ISNUMBER(SEARCH("Rapid",$L143)),7/6,1) *
IF(OR(ISNUMBER(SEARCH("Beam",$L143)),ISNUMBER(SEARCH("Firestorm",$L143))),1, IF(ISNUMBER(SEARCH("Blast",$L143)),(4+$G143+(2-$G143)*0.5)/6*2,(4+$G143)/6)) *
_xlfn.IFS(AK$24-$I143 &lt;=1, 5/6, AK$24-$I143 &lt;=5, (7-(AK$24-$I143))/6, AND(AK$24-$I143 =6,NOT(_xlfn.IFNA(ISNUMBER(SEARCH("Rending",$L143)),FALSE))), (7-(AK$24-$I143))/6, AND(AK$24-$I143 &gt;=7,NOT(_xlfn.IFNA(ISNUMBER(SEARCH("Rending",$L143)),FALSE))), 0, AK$24-$I143 =7, (7-(AK$24-1-$I143))/6, AK$24-$I143 =8, (7-(AK$24-2-$I143))/6*2/3, AK$24-$I143 =9, (7-(AK$24-3-$I143))/6*1/3, TRUE, 0) *
IF(ISNUMBER(SEARCH("Ordinance",$L143)),7/6,1) *
IF(OR(ISNUMBER(SEARCH("Melee",$L143)),ISNUMBER(SEARCH("Bypass",$L143))),1.5,1)</f>
        <v>0</v>
      </c>
      <c r="AL143" s="17" cm="1">
        <f t="array" ref="AL143">$H143 *
IF(ISNUMBER(SEARCH("Rapid",$L143)),7/6,1) *
IF(OR(ISNUMBER(SEARCH("Beam",$L143)),ISNUMBER(SEARCH("Firestorm",$L143))),1, IF(ISNUMBER(SEARCH("Blast",$L143)),(4+$G143+(2-$G143)*0.5)/6*2,(4+$G143)/6)) *
_xlfn.IFS(AL$24-$I143 &lt;=1, 5/6, AL$24-$I143 &lt;=5, (7-(AL$24-$I143))/6, AND(AL$24-$I143 =6,NOT(_xlfn.IFNA(ISNUMBER(SEARCH("Rending",$L143)),FALSE))), (7-(AL$24-$I143))/6, AND(AL$24-$I143 &gt;=7,NOT(_xlfn.IFNA(ISNUMBER(SEARCH("Rending",$L143)),FALSE))), 0, AL$24-$I143 =7, (7-(AL$24-1-$I143))/6, AL$24-$I143 =8, (7-(AL$24-2-$I143))/6*2/3, AL$24-$I143 =9, (7-(AL$24-3-$I143))/6*1/3, TRUE, 0) *
IF(ISNUMBER(SEARCH("Ordinance",$L143)),7/6,1) *
IF(OR(ISNUMBER(SEARCH("Melee",$L143)),ISNUMBER(SEARCH("Bypass",$L143))),1.5,1)</f>
        <v>0</v>
      </c>
      <c r="AM143" s="17" cm="1">
        <f t="array" ref="AM143">$H143 *
IF(ISNUMBER(SEARCH("Rapid",$L143)),7/6,1) *
IF(OR(ISNUMBER(SEARCH("Beam",$L143)),ISNUMBER(SEARCH("Firestorm",$L143))),1, IF(ISNUMBER(SEARCH("Blast",$L143)),(4+$G143+(2-$G143)*0.5)/6*2,(4+$G143)/6)) *
_xlfn.IFS(AM$24-$I143 &lt;=1, 5/6, AM$24-$I143 &lt;=5, (7-(AM$24-$I143))/6, AND(AM$24-$I143 =6,NOT(_xlfn.IFNA(ISNUMBER(SEARCH("Rending",$L143)),FALSE))), (7-(AM$24-$I143))/6, AND(AM$24-$I143 &gt;=7,NOT(_xlfn.IFNA(ISNUMBER(SEARCH("Rending",$L143)),FALSE))), 0, AM$24-$I143 =7, (7-(AM$24-1-$I143))/6, AM$24-$I143 =8, (7-(AM$24-2-$I143))/6*2/3, AM$24-$I143 =9, (7-(AM$24-3-$I143))/6*1/3, TRUE, 0) *
IF(ISNUMBER(SEARCH("Ordinance",$L143)),7/6,1) *
IF(OR(ISNUMBER(SEARCH("Melee",$L143)),ISNUMBER(SEARCH("Bypass",$L143))),1.5,1)</f>
        <v>0</v>
      </c>
      <c r="AN143" s="17" cm="1">
        <f t="array" ref="AN143">$H143 *
IF(ISNUMBER(SEARCH("Rapid",$L143)),7/6,1) *
IF(OR(ISNUMBER(SEARCH("Beam",$L143)),ISNUMBER(SEARCH("Firestorm",$L143))),1, IF(ISNUMBER(SEARCH("Blast",$L143)),(4+$G143+(2-$G143)*0.5)/6*2,(4+$G143)/6)) *
_xlfn.IFS(AN$24-$I143 &lt;=1, 5/6, AN$24-$I143 &lt;=5, (7-(AN$24-$I143))/6, AND(AN$24-$I143 =6,NOT(_xlfn.IFNA(ISNUMBER(SEARCH("Rending",$L143)),FALSE))), (7-(AN$24-$I143))/6, AND(AN$24-$I143 &gt;=7,NOT(_xlfn.IFNA(ISNUMBER(SEARCH("Rending",$L143)),FALSE))), 0, AN$24-$I143 =7, (7-(AN$24-1-$I143))/6, AN$24-$I143 =8, (7-(AN$24-2-$I143))/6*2/3, AN$24-$I143 =9, (7-(AN$24-3-$I143))/6*1/3, TRUE, 0) *
IF(ISNUMBER(SEARCH("Ordinance",$L143)),7/6,1) *
IF(OR(ISNUMBER(SEARCH("Melee",$L143)),ISNUMBER(SEARCH("Bypass",$L143))),1.5,1)</f>
        <v>0</v>
      </c>
      <c r="AO143" s="17" cm="1">
        <f t="array" ref="AO143">$H143 *
IF(ISNUMBER(SEARCH("Rapid",$L143)),7/6,1) *
IF(OR(ISNUMBER(SEARCH("Beam",$L143)),ISNUMBER(SEARCH("Firestorm",$L143))),1, IF(ISNUMBER(SEARCH("Blast",$L143)),(4+$G143+(2-$G143)*0.5)/6*2,(4+$G143)/6)) *
_xlfn.IFS(AO$24-$I143 &lt;=1, 5/6, AO$24-$I143 &lt;=5, (7-(AO$24-$I143))/6, AND(AO$24-$I143 =6,NOT(_xlfn.IFNA(ISNUMBER(SEARCH("Rending",$L143)),FALSE))), (7-(AO$24-$I143))/6, AND(AO$24-$I143 &gt;=7,NOT(_xlfn.IFNA(ISNUMBER(SEARCH("Rending",$L143)),FALSE))), 0, AO$24-$I143 =7, (7-(AO$24-1-$I143))/6, AO$24-$I143 =8, (7-(AO$24-2-$I143))/6*2/3, AO$24-$I143 =9, (7-(AO$24-3-$I143))/6*1/3, TRUE, 0) *
IF(ISNUMBER(SEARCH("Ordinance",$L143)),7/6,1) *
IF(OR(ISNUMBER(SEARCH("Melee",$L143)),ISNUMBER(SEARCH("Bypass",$L143))),1.5,1)</f>
        <v>0</v>
      </c>
      <c r="AP143" s="17" cm="1">
        <f t="array" ref="AP143">$H143 *
IF(ISNUMBER(SEARCH("Rapid",$L143)),7/6,1) *
IF(OR(ISNUMBER(SEARCH("Beam",$L143)),ISNUMBER(SEARCH("Firestorm",$L143))),1, IF(ISNUMBER(SEARCH("Blast",$L143)),(4+$G143+(2-$G143)*0.5)/6*2,(4+$G143)/6)) *
_xlfn.IFS(AP$24-$I143 &lt;=1, 5/6, AP$24-$I143 &lt;=5, (7-(AP$24-$I143))/6, AND(AP$24-$I143 =6,NOT(_xlfn.IFNA(ISNUMBER(SEARCH("Rending",$L143)),FALSE))), (7-(AP$24-$I143))/6, AND(AP$24-$I143 &gt;=7,NOT(_xlfn.IFNA(ISNUMBER(SEARCH("Rending",$L143)),FALSE))), 0, AP$24-$I143 =7, (7-(AP$24-1-$I143))/6, AP$24-$I143 =8, (7-(AP$24-2-$I143))/6*2/3, AP$24-$I143 =9, (7-(AP$24-3-$I143))/6*1/3, TRUE, 0) *
IF(ISNUMBER(SEARCH("Ordinance",$L143)),7/6,1) *
IF(OR(ISNUMBER(SEARCH("Melee",$L143)),ISNUMBER(SEARCH("Bypass",$L143))),1.5,1)</f>
        <v>0</v>
      </c>
      <c r="AQ143" s="17" cm="1">
        <f t="array" ref="AQ143">$H143 *
IF(ISNUMBER(SEARCH("Rapid",$L143)),7/6,1) *
IF(OR(ISNUMBER(SEARCH("Beam",$L143)),ISNUMBER(SEARCH("Firestorm",$L143))),1, IF(ISNUMBER(SEARCH("Blast",$L143)),(4+$G143+(2-$G143)*0.5)/6*2,(4+$G143)/6)) *
_xlfn.IFS(AQ$24-$I143 &lt;=1, 5/6, AQ$24-$I143 &lt;=5, (7-(AQ$24-$I143))/6, AND(AQ$24-$I143 =6,NOT(_xlfn.IFNA(ISNUMBER(SEARCH("Rending",$L143)),FALSE))), (7-(AQ$24-$I143))/6, AND(AQ$24-$I143 &gt;=7,NOT(_xlfn.IFNA(ISNUMBER(SEARCH("Rending",$L143)),FALSE))), 0, AQ$24-$I143 =7, (7-(AQ$24-1-$I143))/6, AQ$24-$I143 =8, (7-(AQ$24-2-$I143))/6*2/3, AQ$24-$I143 =9, (7-(AQ$24-3-$I143))/6*1/3, TRUE, 0) *
IF(ISNUMBER(SEARCH("Ordinance",$L143)),7/6,1) *
IF(OR(ISNUMBER(SEARCH("Melee",$L143)),ISNUMBER(SEARCH("Bypass",$L143))),1.5,1)</f>
        <v>0</v>
      </c>
    </row>
    <row r="144" spans="1:48" x14ac:dyDescent="0.3">
      <c r="A144" s="6" t="s">
        <v>571</v>
      </c>
      <c r="F144" s="10"/>
      <c r="G144" s="10"/>
      <c r="V144" s="16">
        <f t="shared" si="33"/>
        <v>0</v>
      </c>
      <c r="W144" s="16">
        <f t="shared" si="34"/>
        <v>0</v>
      </c>
      <c r="X144" s="17" cm="1">
        <f t="array" ref="X144">$H144 *
IF(ISNUMBER(SEARCH("Rapid",$L144)),7/6,1) *
IF(OR(ISNUMBER(SEARCH("Beam",$L144)),ISNUMBER(SEARCH("Firestorm",$L144))),1, IF(ISNUMBER(SEARCH("Blast",$L144)),(4+$F144+(2-$F144)*0.5)/6*2,(4+$F144)/6)) *
IF(ISNUMBER(SEARCH("Fusion",$L144)), _xlfn.IFS(X$24-$I144 &lt;=1, 9/10, X$24-$I144 &lt;=10,(11-(X$24-$I144))/10, X$24-$I144 &gt;=11, 0),
_xlfn.IFS(X$24-$I144 &lt;=1, 5/6, X$24-$I144 &lt;=5, (7-(X$24-$I144))/6, AND(X$24-$I144 =6,NOT(_xlfn.IFNA(ISNUMBER(SEARCH("Rending",$L144)),FALSE))), (7-(X$24-$I144))/6, AND(X$24-$I144 &gt;=7,NOT(_xlfn.IFNA(ISNUMBER(SEARCH("Rending",$L144)),FALSE))), 0, X$24-$I144 =7, (7-(X$24-1-$I144))/6, X$24-$I144 =8, (7-(X$24-2-$I144))/6*2/3, X$24-$I144 =9, (7-(X$24-3-$I144))/6*1/3, TRUE, 0)) *
IF(ISNUMBER(SEARCH("Ordinance",$L144)),7/6,1) *
IF(OR(ISNUMBER(SEARCH("Melee",$L144)),ISNUMBER(SEARCH("Bypass",$L144))),1.5,1)</f>
        <v>0</v>
      </c>
      <c r="Y144" s="17" cm="1">
        <f t="array" ref="Y144">$H144 *
IF(ISNUMBER(SEARCH("Rapid",$L144)),7/6,1) *
IF(OR(ISNUMBER(SEARCH("Beam",$L144)),ISNUMBER(SEARCH("Firestorm",$L144))),1, IF(ISNUMBER(SEARCH("Blast",$L144)),(4+$F144+(2-$F144)*0.5)/6*2,(4+$F144)/6)) *
IF(ISNUMBER(SEARCH("Fusion",$L144)), _xlfn.IFS(Y$24-$I144 &lt;=1, 9/10, Y$24-$I144 &lt;=10,(11-(Y$24-$I144))/10, Y$24-$I144 &gt;=11, 0),
_xlfn.IFS(Y$24-$I144 &lt;=1, 5/6, Y$24-$I144 &lt;=5, (7-(Y$24-$I144))/6, AND(Y$24-$I144 =6,NOT(_xlfn.IFNA(ISNUMBER(SEARCH("Rending",$L144)),FALSE))), (7-(Y$24-$I144))/6, AND(Y$24-$I144 &gt;=7,NOT(_xlfn.IFNA(ISNUMBER(SEARCH("Rending",$L144)),FALSE))), 0, Y$24-$I144 =7, (7-(Y$24-1-$I144))/6, Y$24-$I144 =8, (7-(Y$24-2-$I144))/6*2/3, Y$24-$I144 =9, (7-(Y$24-3-$I144))/6*1/3, TRUE, 0)) *
IF(ISNUMBER(SEARCH("Ordinance",$L144)),7/6,1) *
IF(OR(ISNUMBER(SEARCH("Melee",$L144)),ISNUMBER(SEARCH("Bypass",$L144))),1.5,1)</f>
        <v>0</v>
      </c>
      <c r="Z144" s="17" cm="1">
        <f t="array" ref="Z144">$H144 *
IF(ISNUMBER(SEARCH("Rapid",$L144)),7/6,1) *
IF(OR(ISNUMBER(SEARCH("Beam",$L144)),ISNUMBER(SEARCH("Firestorm",$L144))),1, IF(ISNUMBER(SEARCH("Blast",$L144)),(4+$F144+(2-$F144)*0.5)/6*2,(4+$F144)/6)) *
IF(ISNUMBER(SEARCH("Fusion",$L144)), _xlfn.IFS(Z$24-$I144 &lt;=1, 9/10, Z$24-$I144 &lt;=10,(11-(Z$24-$I144))/10, Z$24-$I144 &gt;=11, 0),
_xlfn.IFS(Z$24-$I144 &lt;=1, 5/6, Z$24-$I144 &lt;=5, (7-(Z$24-$I144))/6, AND(Z$24-$I144 =6,NOT(_xlfn.IFNA(ISNUMBER(SEARCH("Rending",$L144)),FALSE))), (7-(Z$24-$I144))/6, AND(Z$24-$I144 &gt;=7,NOT(_xlfn.IFNA(ISNUMBER(SEARCH("Rending",$L144)),FALSE))), 0, Z$24-$I144 =7, (7-(Z$24-1-$I144))/6, Z$24-$I144 =8, (7-(Z$24-2-$I144))/6*2/3, Z$24-$I144 =9, (7-(Z$24-3-$I144))/6*1/3, TRUE, 0)) *
IF(ISNUMBER(SEARCH("Ordinance",$L144)),7/6,1) *
IF(OR(ISNUMBER(SEARCH("Melee",$L144)),ISNUMBER(SEARCH("Bypass",$L144))),1.5,1)</f>
        <v>0</v>
      </c>
      <c r="AA144" s="17" cm="1">
        <f t="array" ref="AA144">$H144 *
IF(ISNUMBER(SEARCH("Rapid",$L144)),7/6,1) *
IF(OR(ISNUMBER(SEARCH("Beam",$L144)),ISNUMBER(SEARCH("Firestorm",$L144))),1, IF(ISNUMBER(SEARCH("Blast",$L144)),(4+$F144+(2-$F144)*0.5)/6*2,(4+$F144)/6)) *
IF(ISNUMBER(SEARCH("Fusion",$L144)), _xlfn.IFS(AA$24-$I144 &lt;=1, 9/10, AA$24-$I144 &lt;=10,(11-(AA$24-$I144))/10, AA$24-$I144 &gt;=11, 0),
_xlfn.IFS(AA$24-$I144 &lt;=1, 5/6, AA$24-$I144 &lt;=5, (7-(AA$24-$I144))/6, AND(AA$24-$I144 =6,NOT(_xlfn.IFNA(ISNUMBER(SEARCH("Rending",$L144)),FALSE))), (7-(AA$24-$I144))/6, AND(AA$24-$I144 &gt;=7,NOT(_xlfn.IFNA(ISNUMBER(SEARCH("Rending",$L144)),FALSE))), 0, AA$24-$I144 =7, (7-(AA$24-1-$I144))/6, AA$24-$I144 =8, (7-(AA$24-2-$I144))/6*2/3, AA$24-$I144 =9, (7-(AA$24-3-$I144))/6*1/3, TRUE, 0)) *
IF(ISNUMBER(SEARCH("Ordinance",$L144)),7/6,1) *
IF(OR(ISNUMBER(SEARCH("Melee",$L144)),ISNUMBER(SEARCH("Bypass",$L144))),1.5,1)</f>
        <v>0</v>
      </c>
      <c r="AB144" s="17" cm="1">
        <f t="array" ref="AB144">$H144 *
IF(ISNUMBER(SEARCH("Rapid",$L144)),7/6,1) *
IF(OR(ISNUMBER(SEARCH("Beam",$L144)),ISNUMBER(SEARCH("Firestorm",$L144))),1, IF(ISNUMBER(SEARCH("Blast",$L144)),(4+$F144+(2-$F144)*0.5)/6*2,(4+$F144)/6)) *
IF(ISNUMBER(SEARCH("Fusion",$L144)), _xlfn.IFS(AB$24-$I144 &lt;=1, 9/10, AB$24-$I144 &lt;=10,(11-(AB$24-$I144))/10, AB$24-$I144 &gt;=11, 0),
_xlfn.IFS(AB$24-$I144 &lt;=1, 5/6, AB$24-$I144 &lt;=5, (7-(AB$24-$I144))/6, AND(AB$24-$I144 =6,NOT(_xlfn.IFNA(ISNUMBER(SEARCH("Rending",$L144)),FALSE))), (7-(AB$24-$I144))/6, AND(AB$24-$I144 &gt;=7,NOT(_xlfn.IFNA(ISNUMBER(SEARCH("Rending",$L144)),FALSE))), 0, AB$24-$I144 =7, (7-(AB$24-1-$I144))/6, AB$24-$I144 =8, (7-(AB$24-2-$I144))/6*2/3, AB$24-$I144 =9, (7-(AB$24-3-$I144))/6*1/3, TRUE, 0)) *
IF(ISNUMBER(SEARCH("Ordinance",$L144)),7/6,1) *
IF(OR(ISNUMBER(SEARCH("Melee",$L144)),ISNUMBER(SEARCH("Bypass",$L144))),1.5,1)</f>
        <v>0</v>
      </c>
      <c r="AC144" s="17" cm="1">
        <f t="array" ref="AC144">$H144 *
IF(ISNUMBER(SEARCH("Rapid",$L144)),7/6,1) *
IF(OR(ISNUMBER(SEARCH("Beam",$L144)),ISNUMBER(SEARCH("Firestorm",$L144))),1, IF(ISNUMBER(SEARCH("Blast",$L144)),(4+$F144+(2-$F144)*0.5)/6*2,(4+$F144)/6)) *
IF(ISNUMBER(SEARCH("Fusion",$L144)), _xlfn.IFS(AC$24-$I144 &lt;=1, 9/10, AC$24-$I144 &lt;=10,(11-(AC$24-$I144))/10, AC$24-$I144 &gt;=11, 0),
_xlfn.IFS(AC$24-$I144 &lt;=1, 5/6, AC$24-$I144 &lt;=5, (7-(AC$24-$I144))/6, AND(AC$24-$I144 =6,NOT(_xlfn.IFNA(ISNUMBER(SEARCH("Rending",$L144)),FALSE))), (7-(AC$24-$I144))/6, AND(AC$24-$I144 &gt;=7,NOT(_xlfn.IFNA(ISNUMBER(SEARCH("Rending",$L144)),FALSE))), 0, AC$24-$I144 =7, (7-(AC$24-1-$I144))/6, AC$24-$I144 =8, (7-(AC$24-2-$I144))/6*2/3, AC$24-$I144 =9, (7-(AC$24-3-$I144))/6*1/3, TRUE, 0)) *
IF(ISNUMBER(SEARCH("Ordinance",$L144)),7/6,1) *
IF(OR(ISNUMBER(SEARCH("Melee",$L144)),ISNUMBER(SEARCH("Bypass",$L144))),1.5,1)</f>
        <v>0</v>
      </c>
      <c r="AD144" s="17" cm="1">
        <f t="array" ref="AD144">$H144 *
IF(ISNUMBER(SEARCH("Rapid",$L144)),7/6,1) *
IF(OR(ISNUMBER(SEARCH("Beam",$L144)),ISNUMBER(SEARCH("Firestorm",$L144))),1, IF(ISNUMBER(SEARCH("Blast",$L144)),(4+$F144+(2-$F144)*0.5)/6*2,(4+$F144)/6)) *
IF(ISNUMBER(SEARCH("Fusion",$L144)), _xlfn.IFS(AD$24-$I144 &lt;=1, 9/10, AD$24-$I144 &lt;=10,(11-(AD$24-$I144))/10, AD$24-$I144 &gt;=11, 0),
_xlfn.IFS(AD$24-$I144 &lt;=1, 5/6, AD$24-$I144 &lt;=5, (7-(AD$24-$I144))/6, AND(AD$24-$I144 =6,NOT(_xlfn.IFNA(ISNUMBER(SEARCH("Rending",$L144)),FALSE))), (7-(AD$24-$I144))/6, AND(AD$24-$I144 &gt;=7,NOT(_xlfn.IFNA(ISNUMBER(SEARCH("Rending",$L144)),FALSE))), 0, AD$24-$I144 =7, (7-(AD$24-1-$I144))/6, AD$24-$I144 =8, (7-(AD$24-2-$I144))/6*2/3, AD$24-$I144 =9, (7-(AD$24-3-$I144))/6*1/3, TRUE, 0)) *
IF(ISNUMBER(SEARCH("Ordinance",$L144)),7/6,1) *
IF(OR(ISNUMBER(SEARCH("Melee",$L144)),ISNUMBER(SEARCH("Bypass",$L144))),1.5,1)</f>
        <v>0</v>
      </c>
      <c r="AE144" s="17" cm="1">
        <f t="array" ref="AE144">$H144 *
IF(ISNUMBER(SEARCH("Rapid",$L144)),7/6,1) *
IF(OR(ISNUMBER(SEARCH("Beam",$L144)),ISNUMBER(SEARCH("Firestorm",$L144))),1, IF(ISNUMBER(SEARCH("Blast",$L144)),(4+$F144+(2-$F144)*0.5)/6*2,(4+$F144)/6)) *
IF(ISNUMBER(SEARCH("Fusion",$L144)), _xlfn.IFS(AE$24-$I144 &lt;=1, 9/10, AE$24-$I144 &lt;=10,(11-(AE$24-$I144))/10, AE$24-$I144 &gt;=11, 0),
_xlfn.IFS(AE$24-$I144 &lt;=1, 5/6, AE$24-$I144 &lt;=5, (7-(AE$24-$I144))/6, AND(AE$24-$I144 =6,NOT(_xlfn.IFNA(ISNUMBER(SEARCH("Rending",$L144)),FALSE))), (7-(AE$24-$I144))/6, AND(AE$24-$I144 &gt;=7,NOT(_xlfn.IFNA(ISNUMBER(SEARCH("Rending",$L144)),FALSE))), 0, AE$24-$I144 =7, (7-(AE$24-1-$I144))/6, AE$24-$I144 =8, (7-(AE$24-2-$I144))/6*2/3, AE$24-$I144 =9, (7-(AE$24-3-$I144))/6*1/3, TRUE, 0)) *
IF(ISNUMBER(SEARCH("Ordinance",$L144)),7/6,1) *
IF(OR(ISNUMBER(SEARCH("Melee",$L144)),ISNUMBER(SEARCH("Bypass",$L144))),1.5,1)</f>
        <v>0</v>
      </c>
      <c r="AF144" s="17" cm="1">
        <f t="array" ref="AF144">$H144 *
IF(ISNUMBER(SEARCH("Rapid",$L144)),7/6,1) *
IF(OR(ISNUMBER(SEARCH("Beam",$L144)),ISNUMBER(SEARCH("Firestorm",$L144))),1, IF(ISNUMBER(SEARCH("Blast",$L144)),(4+$F144+(2-$F144)*0.5)/6*2,(4+$F144)/6)) *
IF(ISNUMBER(SEARCH("Fusion",$L144)), _xlfn.IFS(AF$24-$I144 &lt;=1, 9/10, AF$24-$I144 &lt;=10,(11-(AF$24-$I144))/10, AF$24-$I144 &gt;=11, 0),
_xlfn.IFS(AF$24-$I144 &lt;=1, 5/6, AF$24-$I144 &lt;=5, (7-(AF$24-$I144))/6, AND(AF$24-$I144 =6,NOT(_xlfn.IFNA(ISNUMBER(SEARCH("Rending",$L144)),FALSE))), (7-(AF$24-$I144))/6, AND(AF$24-$I144 &gt;=7,NOT(_xlfn.IFNA(ISNUMBER(SEARCH("Rending",$L144)),FALSE))), 0, AF$24-$I144 =7, (7-(AF$24-1-$I144))/6, AF$24-$I144 =8, (7-(AF$24-2-$I144))/6*2/3, AF$24-$I144 =9, (7-(AF$24-3-$I144))/6*1/3, TRUE, 0)) *
IF(ISNUMBER(SEARCH("Ordinance",$L144)),7/6,1) *
IF(OR(ISNUMBER(SEARCH("Melee",$L144)),ISNUMBER(SEARCH("Bypass",$L144))),1.5,1)</f>
        <v>0</v>
      </c>
      <c r="AG144" s="16">
        <f t="shared" si="35"/>
        <v>0</v>
      </c>
      <c r="AH144" s="16">
        <f t="shared" si="36"/>
        <v>0</v>
      </c>
      <c r="AI144" s="17" cm="1">
        <f t="array" ref="AI144">$H144 *
IF(ISNUMBER(SEARCH("Rapid",$L144)),7/6,1) *
IF(OR(ISNUMBER(SEARCH("Beam",$L144)),ISNUMBER(SEARCH("Firestorm",$L144))),1, IF(ISNUMBER(SEARCH("Blast",$L144)),(4+$G144+(2-$G144)*0.5)/6*2,(4+$G144)/6)) *
_xlfn.IFS(AI$24-$I144 &lt;=1, 5/6, AI$24-$I144 &lt;=5, (7-(AI$24-$I144))/6, AND(AI$24-$I144 =6,NOT(_xlfn.IFNA(ISNUMBER(SEARCH("Rending",$L144)),FALSE))), (7-(AI$24-$I144))/6, AND(AI$24-$I144 &gt;=7,NOT(_xlfn.IFNA(ISNUMBER(SEARCH("Rending",$L144)),FALSE))), 0, AI$24-$I144 =7, (7-(AI$24-1-$I144))/6, AI$24-$I144 =8, (7-(AI$24-2-$I144))/6*2/3, AI$24-$I144 =9, (7-(AI$24-3-$I144))/6*1/3, TRUE, 0) *
IF(ISNUMBER(SEARCH("Ordinance",$L144)),7/6,1) *
IF(OR(ISNUMBER(SEARCH("Melee",$L144)),ISNUMBER(SEARCH("Bypass",$L144))),1.5,1)</f>
        <v>0</v>
      </c>
      <c r="AJ144" s="17" cm="1">
        <f t="array" ref="AJ144">$H144 *
IF(ISNUMBER(SEARCH("Rapid",$L144)),7/6,1) *
IF(OR(ISNUMBER(SEARCH("Beam",$L144)),ISNUMBER(SEARCH("Firestorm",$L144))),1, IF(ISNUMBER(SEARCH("Blast",$L144)),(4+$G144+(2-$G144)*0.5)/6*2,(4+$G144)/6)) *
_xlfn.IFS(AJ$24-$I144 &lt;=1, 5/6, AJ$24-$I144 &lt;=5, (7-(AJ$24-$I144))/6, AND(AJ$24-$I144 =6,NOT(_xlfn.IFNA(ISNUMBER(SEARCH("Rending",$L144)),FALSE))), (7-(AJ$24-$I144))/6, AND(AJ$24-$I144 &gt;=7,NOT(_xlfn.IFNA(ISNUMBER(SEARCH("Rending",$L144)),FALSE))), 0, AJ$24-$I144 =7, (7-(AJ$24-1-$I144))/6, AJ$24-$I144 =8, (7-(AJ$24-2-$I144))/6*2/3, AJ$24-$I144 =9, (7-(AJ$24-3-$I144))/6*1/3, TRUE, 0) *
IF(ISNUMBER(SEARCH("Ordinance",$L144)),7/6,1) *
IF(OR(ISNUMBER(SEARCH("Melee",$L144)),ISNUMBER(SEARCH("Bypass",$L144))),1.5,1)</f>
        <v>0</v>
      </c>
      <c r="AK144" s="17" cm="1">
        <f t="array" ref="AK144">$H144 *
IF(ISNUMBER(SEARCH("Rapid",$L144)),7/6,1) *
IF(OR(ISNUMBER(SEARCH("Beam",$L144)),ISNUMBER(SEARCH("Firestorm",$L144))),1, IF(ISNUMBER(SEARCH("Blast",$L144)),(4+$G144+(2-$G144)*0.5)/6*2,(4+$G144)/6)) *
_xlfn.IFS(AK$24-$I144 &lt;=1, 5/6, AK$24-$I144 &lt;=5, (7-(AK$24-$I144))/6, AND(AK$24-$I144 =6,NOT(_xlfn.IFNA(ISNUMBER(SEARCH("Rending",$L144)),FALSE))), (7-(AK$24-$I144))/6, AND(AK$24-$I144 &gt;=7,NOT(_xlfn.IFNA(ISNUMBER(SEARCH("Rending",$L144)),FALSE))), 0, AK$24-$I144 =7, (7-(AK$24-1-$I144))/6, AK$24-$I144 =8, (7-(AK$24-2-$I144))/6*2/3, AK$24-$I144 =9, (7-(AK$24-3-$I144))/6*1/3, TRUE, 0) *
IF(ISNUMBER(SEARCH("Ordinance",$L144)),7/6,1) *
IF(OR(ISNUMBER(SEARCH("Melee",$L144)),ISNUMBER(SEARCH("Bypass",$L144))),1.5,1)</f>
        <v>0</v>
      </c>
      <c r="AL144" s="17" cm="1">
        <f t="array" ref="AL144">$H144 *
IF(ISNUMBER(SEARCH("Rapid",$L144)),7/6,1) *
IF(OR(ISNUMBER(SEARCH("Beam",$L144)),ISNUMBER(SEARCH("Firestorm",$L144))),1, IF(ISNUMBER(SEARCH("Blast",$L144)),(4+$G144+(2-$G144)*0.5)/6*2,(4+$G144)/6)) *
_xlfn.IFS(AL$24-$I144 &lt;=1, 5/6, AL$24-$I144 &lt;=5, (7-(AL$24-$I144))/6, AND(AL$24-$I144 =6,NOT(_xlfn.IFNA(ISNUMBER(SEARCH("Rending",$L144)),FALSE))), (7-(AL$24-$I144))/6, AND(AL$24-$I144 &gt;=7,NOT(_xlfn.IFNA(ISNUMBER(SEARCH("Rending",$L144)),FALSE))), 0, AL$24-$I144 =7, (7-(AL$24-1-$I144))/6, AL$24-$I144 =8, (7-(AL$24-2-$I144))/6*2/3, AL$24-$I144 =9, (7-(AL$24-3-$I144))/6*1/3, TRUE, 0) *
IF(ISNUMBER(SEARCH("Ordinance",$L144)),7/6,1) *
IF(OR(ISNUMBER(SEARCH("Melee",$L144)),ISNUMBER(SEARCH("Bypass",$L144))),1.5,1)</f>
        <v>0</v>
      </c>
      <c r="AM144" s="17" cm="1">
        <f t="array" ref="AM144">$H144 *
IF(ISNUMBER(SEARCH("Rapid",$L144)),7/6,1) *
IF(OR(ISNUMBER(SEARCH("Beam",$L144)),ISNUMBER(SEARCH("Firestorm",$L144))),1, IF(ISNUMBER(SEARCH("Blast",$L144)),(4+$G144+(2-$G144)*0.5)/6*2,(4+$G144)/6)) *
_xlfn.IFS(AM$24-$I144 &lt;=1, 5/6, AM$24-$I144 &lt;=5, (7-(AM$24-$I144))/6, AND(AM$24-$I144 =6,NOT(_xlfn.IFNA(ISNUMBER(SEARCH("Rending",$L144)),FALSE))), (7-(AM$24-$I144))/6, AND(AM$24-$I144 &gt;=7,NOT(_xlfn.IFNA(ISNUMBER(SEARCH("Rending",$L144)),FALSE))), 0, AM$24-$I144 =7, (7-(AM$24-1-$I144))/6, AM$24-$I144 =8, (7-(AM$24-2-$I144))/6*2/3, AM$24-$I144 =9, (7-(AM$24-3-$I144))/6*1/3, TRUE, 0) *
IF(ISNUMBER(SEARCH("Ordinance",$L144)),7/6,1) *
IF(OR(ISNUMBER(SEARCH("Melee",$L144)),ISNUMBER(SEARCH("Bypass",$L144))),1.5,1)</f>
        <v>0</v>
      </c>
      <c r="AN144" s="17" cm="1">
        <f t="array" ref="AN144">$H144 *
IF(ISNUMBER(SEARCH("Rapid",$L144)),7/6,1) *
IF(OR(ISNUMBER(SEARCH("Beam",$L144)),ISNUMBER(SEARCH("Firestorm",$L144))),1, IF(ISNUMBER(SEARCH("Blast",$L144)),(4+$G144+(2-$G144)*0.5)/6*2,(4+$G144)/6)) *
_xlfn.IFS(AN$24-$I144 &lt;=1, 5/6, AN$24-$I144 &lt;=5, (7-(AN$24-$I144))/6, AND(AN$24-$I144 =6,NOT(_xlfn.IFNA(ISNUMBER(SEARCH("Rending",$L144)),FALSE))), (7-(AN$24-$I144))/6, AND(AN$24-$I144 &gt;=7,NOT(_xlfn.IFNA(ISNUMBER(SEARCH("Rending",$L144)),FALSE))), 0, AN$24-$I144 =7, (7-(AN$24-1-$I144))/6, AN$24-$I144 =8, (7-(AN$24-2-$I144))/6*2/3, AN$24-$I144 =9, (7-(AN$24-3-$I144))/6*1/3, TRUE, 0) *
IF(ISNUMBER(SEARCH("Ordinance",$L144)),7/6,1) *
IF(OR(ISNUMBER(SEARCH("Melee",$L144)),ISNUMBER(SEARCH("Bypass",$L144))),1.5,1)</f>
        <v>0</v>
      </c>
      <c r="AO144" s="17" cm="1">
        <f t="array" ref="AO144">$H144 *
IF(ISNUMBER(SEARCH("Rapid",$L144)),7/6,1) *
IF(OR(ISNUMBER(SEARCH("Beam",$L144)),ISNUMBER(SEARCH("Firestorm",$L144))),1, IF(ISNUMBER(SEARCH("Blast",$L144)),(4+$G144+(2-$G144)*0.5)/6*2,(4+$G144)/6)) *
_xlfn.IFS(AO$24-$I144 &lt;=1, 5/6, AO$24-$I144 &lt;=5, (7-(AO$24-$I144))/6, AND(AO$24-$I144 =6,NOT(_xlfn.IFNA(ISNUMBER(SEARCH("Rending",$L144)),FALSE))), (7-(AO$24-$I144))/6, AND(AO$24-$I144 &gt;=7,NOT(_xlfn.IFNA(ISNUMBER(SEARCH("Rending",$L144)),FALSE))), 0, AO$24-$I144 =7, (7-(AO$24-1-$I144))/6, AO$24-$I144 =8, (7-(AO$24-2-$I144))/6*2/3, AO$24-$I144 =9, (7-(AO$24-3-$I144))/6*1/3, TRUE, 0) *
IF(ISNUMBER(SEARCH("Ordinance",$L144)),7/6,1) *
IF(OR(ISNUMBER(SEARCH("Melee",$L144)),ISNUMBER(SEARCH("Bypass",$L144))),1.5,1)</f>
        <v>0</v>
      </c>
      <c r="AP144" s="17" cm="1">
        <f t="array" ref="AP144">$H144 *
IF(ISNUMBER(SEARCH("Rapid",$L144)),7/6,1) *
IF(OR(ISNUMBER(SEARCH("Beam",$L144)),ISNUMBER(SEARCH("Firestorm",$L144))),1, IF(ISNUMBER(SEARCH("Blast",$L144)),(4+$G144+(2-$G144)*0.5)/6*2,(4+$G144)/6)) *
_xlfn.IFS(AP$24-$I144 &lt;=1, 5/6, AP$24-$I144 &lt;=5, (7-(AP$24-$I144))/6, AND(AP$24-$I144 =6,NOT(_xlfn.IFNA(ISNUMBER(SEARCH("Rending",$L144)),FALSE))), (7-(AP$24-$I144))/6, AND(AP$24-$I144 &gt;=7,NOT(_xlfn.IFNA(ISNUMBER(SEARCH("Rending",$L144)),FALSE))), 0, AP$24-$I144 =7, (7-(AP$24-1-$I144))/6, AP$24-$I144 =8, (7-(AP$24-2-$I144))/6*2/3, AP$24-$I144 =9, (7-(AP$24-3-$I144))/6*1/3, TRUE, 0) *
IF(ISNUMBER(SEARCH("Ordinance",$L144)),7/6,1) *
IF(OR(ISNUMBER(SEARCH("Melee",$L144)),ISNUMBER(SEARCH("Bypass",$L144))),1.5,1)</f>
        <v>0</v>
      </c>
      <c r="AQ144" s="17" cm="1">
        <f t="array" ref="AQ144">$H144 *
IF(ISNUMBER(SEARCH("Rapid",$L144)),7/6,1) *
IF(OR(ISNUMBER(SEARCH("Beam",$L144)),ISNUMBER(SEARCH("Firestorm",$L144))),1, IF(ISNUMBER(SEARCH("Blast",$L144)),(4+$G144+(2-$G144)*0.5)/6*2,(4+$G144)/6)) *
_xlfn.IFS(AQ$24-$I144 &lt;=1, 5/6, AQ$24-$I144 &lt;=5, (7-(AQ$24-$I144))/6, AND(AQ$24-$I144 =6,NOT(_xlfn.IFNA(ISNUMBER(SEARCH("Rending",$L144)),FALSE))), (7-(AQ$24-$I144))/6, AND(AQ$24-$I144 &gt;=7,NOT(_xlfn.IFNA(ISNUMBER(SEARCH("Rending",$L144)),FALSE))), 0, AQ$24-$I144 =7, (7-(AQ$24-1-$I144))/6, AQ$24-$I144 =8, (7-(AQ$24-2-$I144))/6*2/3, AQ$24-$I144 =9, (7-(AQ$24-3-$I144))/6*1/3, TRUE, 0) *
IF(ISNUMBER(SEARCH("Ordinance",$L144)),7/6,1) *
IF(OR(ISNUMBER(SEARCH("Melee",$L144)),ISNUMBER(SEARCH("Bypass",$L144))),1.5,1)</f>
        <v>0</v>
      </c>
    </row>
    <row r="145" spans="1:48" x14ac:dyDescent="0.3">
      <c r="A145" t="s">
        <v>572</v>
      </c>
      <c r="B145" s="3">
        <v>30</v>
      </c>
      <c r="C145" s="3">
        <v>60</v>
      </c>
      <c r="D145" s="3">
        <v>2</v>
      </c>
      <c r="E145" s="3">
        <v>1</v>
      </c>
      <c r="F145" s="10">
        <v>1</v>
      </c>
      <c r="G145" s="10"/>
      <c r="H145" s="3">
        <v>4</v>
      </c>
      <c r="I145" s="3">
        <v>11</v>
      </c>
      <c r="J145" s="3" t="s">
        <v>573</v>
      </c>
      <c r="K145" s="3">
        <v>100</v>
      </c>
      <c r="L145" s="3" t="s">
        <v>577</v>
      </c>
      <c r="M145" s="3" t="s">
        <v>199</v>
      </c>
      <c r="N145" s="3">
        <v>13</v>
      </c>
      <c r="O145" s="3">
        <v>13</v>
      </c>
      <c r="P145" s="3">
        <v>15</v>
      </c>
      <c r="Q145" s="3" t="s">
        <v>200</v>
      </c>
      <c r="R145" s="3">
        <v>7</v>
      </c>
      <c r="S145" s="3">
        <v>9</v>
      </c>
      <c r="T145" s="3">
        <v>5</v>
      </c>
      <c r="V145" s="16">
        <f t="shared" si="33"/>
        <v>1.1111111111111112</v>
      </c>
      <c r="W145" s="16">
        <f t="shared" si="34"/>
        <v>1.6666666666666667</v>
      </c>
      <c r="X145" s="17" cm="1">
        <f t="array" ref="X145">$H145 *
IF(ISNUMBER(SEARCH("Rapid",$L145)),7/6,1) *
IF(OR(ISNUMBER(SEARCH("Beam",$L145)),ISNUMBER(SEARCH("Firestorm",$L145))),1, IF(ISNUMBER(SEARCH("Blast",$L145)),(4+$F145+(2-$F145)*0.5)/6*2,(4+$F145)/6)) *
IF(ISNUMBER(SEARCH("Fusion",$L145)), _xlfn.IFS(X$24-$I145 &lt;=1, 9/10, X$24-$I145 &lt;=10,(11-(X$24-$I145))/10, X$24-$I145 &gt;=11, 0),
_xlfn.IFS(X$24-$I145 &lt;=1, 5/6, X$24-$I145 &lt;=5, (7-(X$24-$I145))/6, AND(X$24-$I145 =6,NOT(_xlfn.IFNA(ISNUMBER(SEARCH("Rending",$L145)),FALSE))), (7-(X$24-$I145))/6, AND(X$24-$I145 &gt;=7,NOT(_xlfn.IFNA(ISNUMBER(SEARCH("Rending",$L145)),FALSE))), 0, X$24-$I145 =7, (7-(X$24-1-$I145))/6, X$24-$I145 =8, (7-(X$24-2-$I145))/6*2/3, X$24-$I145 =9, (7-(X$24-3-$I145))/6*1/3, TRUE, 0)) *
IF(ISNUMBER(SEARCH("Ordinance",$L145)),7/6,1) *
IF(OR(ISNUMBER(SEARCH("Melee",$L145)),ISNUMBER(SEARCH("Bypass",$L145))),1.5,1)</f>
        <v>2.7777777777777781</v>
      </c>
      <c r="Y145" s="17" cm="1">
        <f t="array" ref="Y145">$H145 *
IF(ISNUMBER(SEARCH("Rapid",$L145)),7/6,1) *
IF(OR(ISNUMBER(SEARCH("Beam",$L145)),ISNUMBER(SEARCH("Firestorm",$L145))),1, IF(ISNUMBER(SEARCH("Blast",$L145)),(4+$F145+(2-$F145)*0.5)/6*2,(4+$F145)/6)) *
IF(ISNUMBER(SEARCH("Fusion",$L145)), _xlfn.IFS(Y$24-$I145 &lt;=1, 9/10, Y$24-$I145 &lt;=10,(11-(Y$24-$I145))/10, Y$24-$I145 &gt;=11, 0),
_xlfn.IFS(Y$24-$I145 &lt;=1, 5/6, Y$24-$I145 &lt;=5, (7-(Y$24-$I145))/6, AND(Y$24-$I145 =6,NOT(_xlfn.IFNA(ISNUMBER(SEARCH("Rending",$L145)),FALSE))), (7-(Y$24-$I145))/6, AND(Y$24-$I145 &gt;=7,NOT(_xlfn.IFNA(ISNUMBER(SEARCH("Rending",$L145)),FALSE))), 0, Y$24-$I145 =7, (7-(Y$24-1-$I145))/6, Y$24-$I145 =8, (7-(Y$24-2-$I145))/6*2/3, Y$24-$I145 =9, (7-(Y$24-3-$I145))/6*1/3, TRUE, 0)) *
IF(ISNUMBER(SEARCH("Ordinance",$L145)),7/6,1) *
IF(OR(ISNUMBER(SEARCH("Melee",$L145)),ISNUMBER(SEARCH("Bypass",$L145))),1.5,1)</f>
        <v>2.7777777777777781</v>
      </c>
      <c r="Z145" s="17" cm="1">
        <f t="array" ref="Z145">$H145 *
IF(ISNUMBER(SEARCH("Rapid",$L145)),7/6,1) *
IF(OR(ISNUMBER(SEARCH("Beam",$L145)),ISNUMBER(SEARCH("Firestorm",$L145))),1, IF(ISNUMBER(SEARCH("Blast",$L145)),(4+$F145+(2-$F145)*0.5)/6*2,(4+$F145)/6)) *
IF(ISNUMBER(SEARCH("Fusion",$L145)), _xlfn.IFS(Z$24-$I145 &lt;=1, 9/10, Z$24-$I145 &lt;=10,(11-(Z$24-$I145))/10, Z$24-$I145 &gt;=11, 0),
_xlfn.IFS(Z$24-$I145 &lt;=1, 5/6, Z$24-$I145 &lt;=5, (7-(Z$24-$I145))/6, AND(Z$24-$I145 =6,NOT(_xlfn.IFNA(ISNUMBER(SEARCH("Rending",$L145)),FALSE))), (7-(Z$24-$I145))/6, AND(Z$24-$I145 &gt;=7,NOT(_xlfn.IFNA(ISNUMBER(SEARCH("Rending",$L145)),FALSE))), 0, Z$24-$I145 =7, (7-(Z$24-1-$I145))/6, Z$24-$I145 =8, (7-(Z$24-2-$I145))/6*2/3, Z$24-$I145 =9, (7-(Z$24-3-$I145))/6*1/3, TRUE, 0)) *
IF(ISNUMBER(SEARCH("Ordinance",$L145)),7/6,1) *
IF(OR(ISNUMBER(SEARCH("Melee",$L145)),ISNUMBER(SEARCH("Bypass",$L145))),1.5,1)</f>
        <v>2.7777777777777781</v>
      </c>
      <c r="AA145" s="17" cm="1">
        <f t="array" ref="AA145">$H145 *
IF(ISNUMBER(SEARCH("Rapid",$L145)),7/6,1) *
IF(OR(ISNUMBER(SEARCH("Beam",$L145)),ISNUMBER(SEARCH("Firestorm",$L145))),1, IF(ISNUMBER(SEARCH("Blast",$L145)),(4+$F145+(2-$F145)*0.5)/6*2,(4+$F145)/6)) *
IF(ISNUMBER(SEARCH("Fusion",$L145)), _xlfn.IFS(AA$24-$I145 &lt;=1, 9/10, AA$24-$I145 &lt;=10,(11-(AA$24-$I145))/10, AA$24-$I145 &gt;=11, 0),
_xlfn.IFS(AA$24-$I145 &lt;=1, 5/6, AA$24-$I145 &lt;=5, (7-(AA$24-$I145))/6, AND(AA$24-$I145 =6,NOT(_xlfn.IFNA(ISNUMBER(SEARCH("Rending",$L145)),FALSE))), (7-(AA$24-$I145))/6, AND(AA$24-$I145 &gt;=7,NOT(_xlfn.IFNA(ISNUMBER(SEARCH("Rending",$L145)),FALSE))), 0, AA$24-$I145 =7, (7-(AA$24-1-$I145))/6, AA$24-$I145 =8, (7-(AA$24-2-$I145))/6*2/3, AA$24-$I145 =9, (7-(AA$24-3-$I145))/6*1/3, TRUE, 0)) *
IF(ISNUMBER(SEARCH("Ordinance",$L145)),7/6,1) *
IF(OR(ISNUMBER(SEARCH("Melee",$L145)),ISNUMBER(SEARCH("Bypass",$L145))),1.5,1)</f>
        <v>2.7777777777777781</v>
      </c>
      <c r="AB145" s="17" cm="1">
        <f t="array" ref="AB145">$H145 *
IF(ISNUMBER(SEARCH("Rapid",$L145)),7/6,1) *
IF(OR(ISNUMBER(SEARCH("Beam",$L145)),ISNUMBER(SEARCH("Firestorm",$L145))),1, IF(ISNUMBER(SEARCH("Blast",$L145)),(4+$F145+(2-$F145)*0.5)/6*2,(4+$F145)/6)) *
IF(ISNUMBER(SEARCH("Fusion",$L145)), _xlfn.IFS(AB$24-$I145 &lt;=1, 9/10, AB$24-$I145 &lt;=10,(11-(AB$24-$I145))/10, AB$24-$I145 &gt;=11, 0),
_xlfn.IFS(AB$24-$I145 &lt;=1, 5/6, AB$24-$I145 &lt;=5, (7-(AB$24-$I145))/6, AND(AB$24-$I145 =6,NOT(_xlfn.IFNA(ISNUMBER(SEARCH("Rending",$L145)),FALSE))), (7-(AB$24-$I145))/6, AND(AB$24-$I145 &gt;=7,NOT(_xlfn.IFNA(ISNUMBER(SEARCH("Rending",$L145)),FALSE))), 0, AB$24-$I145 =7, (7-(AB$24-1-$I145))/6, AB$24-$I145 =8, (7-(AB$24-2-$I145))/6*2/3, AB$24-$I145 =9, (7-(AB$24-3-$I145))/6*1/3, TRUE, 0)) *
IF(ISNUMBER(SEARCH("Ordinance",$L145)),7/6,1) *
IF(OR(ISNUMBER(SEARCH("Melee",$L145)),ISNUMBER(SEARCH("Bypass",$L145))),1.5,1)</f>
        <v>2.7777777777777781</v>
      </c>
      <c r="AC145" s="17" cm="1">
        <f t="array" ref="AC145">$H145 *
IF(ISNUMBER(SEARCH("Rapid",$L145)),7/6,1) *
IF(OR(ISNUMBER(SEARCH("Beam",$L145)),ISNUMBER(SEARCH("Firestorm",$L145))),1, IF(ISNUMBER(SEARCH("Blast",$L145)),(4+$F145+(2-$F145)*0.5)/6*2,(4+$F145)/6)) *
IF(ISNUMBER(SEARCH("Fusion",$L145)), _xlfn.IFS(AC$24-$I145 &lt;=1, 9/10, AC$24-$I145 &lt;=10,(11-(AC$24-$I145))/10, AC$24-$I145 &gt;=11, 0),
_xlfn.IFS(AC$24-$I145 &lt;=1, 5/6, AC$24-$I145 &lt;=5, (7-(AC$24-$I145))/6, AND(AC$24-$I145 =6,NOT(_xlfn.IFNA(ISNUMBER(SEARCH("Rending",$L145)),FALSE))), (7-(AC$24-$I145))/6, AND(AC$24-$I145 &gt;=7,NOT(_xlfn.IFNA(ISNUMBER(SEARCH("Rending",$L145)),FALSE))), 0, AC$24-$I145 =7, (7-(AC$24-1-$I145))/6, AC$24-$I145 =8, (7-(AC$24-2-$I145))/6*2/3, AC$24-$I145 =9, (7-(AC$24-3-$I145))/6*1/3, TRUE, 0)) *
IF(ISNUMBER(SEARCH("Ordinance",$L145)),7/6,1) *
IF(OR(ISNUMBER(SEARCH("Melee",$L145)),ISNUMBER(SEARCH("Bypass",$L145))),1.5,1)</f>
        <v>2.2222222222222223</v>
      </c>
      <c r="AD145" s="17" cm="1">
        <f t="array" ref="AD145">$H145 *
IF(ISNUMBER(SEARCH("Rapid",$L145)),7/6,1) *
IF(OR(ISNUMBER(SEARCH("Beam",$L145)),ISNUMBER(SEARCH("Firestorm",$L145))),1, IF(ISNUMBER(SEARCH("Blast",$L145)),(4+$F145+(2-$F145)*0.5)/6*2,(4+$F145)/6)) *
IF(ISNUMBER(SEARCH("Fusion",$L145)), _xlfn.IFS(AD$24-$I145 &lt;=1, 9/10, AD$24-$I145 &lt;=10,(11-(AD$24-$I145))/10, AD$24-$I145 &gt;=11, 0),
_xlfn.IFS(AD$24-$I145 &lt;=1, 5/6, AD$24-$I145 &lt;=5, (7-(AD$24-$I145))/6, AND(AD$24-$I145 =6,NOT(_xlfn.IFNA(ISNUMBER(SEARCH("Rending",$L145)),FALSE))), (7-(AD$24-$I145))/6, AND(AD$24-$I145 &gt;=7,NOT(_xlfn.IFNA(ISNUMBER(SEARCH("Rending",$L145)),FALSE))), 0, AD$24-$I145 =7, (7-(AD$24-1-$I145))/6, AD$24-$I145 =8, (7-(AD$24-2-$I145))/6*2/3, AD$24-$I145 =9, (7-(AD$24-3-$I145))/6*1/3, TRUE, 0)) *
IF(ISNUMBER(SEARCH("Ordinance",$L145)),7/6,1) *
IF(OR(ISNUMBER(SEARCH("Melee",$L145)),ISNUMBER(SEARCH("Bypass",$L145))),1.5,1)</f>
        <v>1.6666666666666667</v>
      </c>
      <c r="AE145" s="17" cm="1">
        <f t="array" ref="AE145">$H145 *
IF(ISNUMBER(SEARCH("Rapid",$L145)),7/6,1) *
IF(OR(ISNUMBER(SEARCH("Beam",$L145)),ISNUMBER(SEARCH("Firestorm",$L145))),1, IF(ISNUMBER(SEARCH("Blast",$L145)),(4+$F145+(2-$F145)*0.5)/6*2,(4+$F145)/6)) *
IF(ISNUMBER(SEARCH("Fusion",$L145)), _xlfn.IFS(AE$24-$I145 &lt;=1, 9/10, AE$24-$I145 &lt;=10,(11-(AE$24-$I145))/10, AE$24-$I145 &gt;=11, 0),
_xlfn.IFS(AE$24-$I145 &lt;=1, 5/6, AE$24-$I145 &lt;=5, (7-(AE$24-$I145))/6, AND(AE$24-$I145 =6,NOT(_xlfn.IFNA(ISNUMBER(SEARCH("Rending",$L145)),FALSE))), (7-(AE$24-$I145))/6, AND(AE$24-$I145 &gt;=7,NOT(_xlfn.IFNA(ISNUMBER(SEARCH("Rending",$L145)),FALSE))), 0, AE$24-$I145 =7, (7-(AE$24-1-$I145))/6, AE$24-$I145 =8, (7-(AE$24-2-$I145))/6*2/3, AE$24-$I145 =9, (7-(AE$24-3-$I145))/6*1/3, TRUE, 0)) *
IF(ISNUMBER(SEARCH("Ordinance",$L145)),7/6,1) *
IF(OR(ISNUMBER(SEARCH("Melee",$L145)),ISNUMBER(SEARCH("Bypass",$L145))),1.5,1)</f>
        <v>1.1111111111111112</v>
      </c>
      <c r="AF145" s="17" cm="1">
        <f t="array" ref="AF145">$H145 *
IF(ISNUMBER(SEARCH("Rapid",$L145)),7/6,1) *
IF(OR(ISNUMBER(SEARCH("Beam",$L145)),ISNUMBER(SEARCH("Firestorm",$L145))),1, IF(ISNUMBER(SEARCH("Blast",$L145)),(4+$F145+(2-$F145)*0.5)/6*2,(4+$F145)/6)) *
IF(ISNUMBER(SEARCH("Fusion",$L145)), _xlfn.IFS(AF$24-$I145 &lt;=1, 9/10, AF$24-$I145 &lt;=10,(11-(AF$24-$I145))/10, AF$24-$I145 &gt;=11, 0),
_xlfn.IFS(AF$24-$I145 &lt;=1, 5/6, AF$24-$I145 &lt;=5, (7-(AF$24-$I145))/6, AND(AF$24-$I145 =6,NOT(_xlfn.IFNA(ISNUMBER(SEARCH("Rending",$L145)),FALSE))), (7-(AF$24-$I145))/6, AND(AF$24-$I145 &gt;=7,NOT(_xlfn.IFNA(ISNUMBER(SEARCH("Rending",$L145)),FALSE))), 0, AF$24-$I145 =7, (7-(AF$24-1-$I145))/6, AF$24-$I145 =8, (7-(AF$24-2-$I145))/6*2/3, AF$24-$I145 =9, (7-(AF$24-3-$I145))/6*1/3, TRUE, 0)) *
IF(ISNUMBER(SEARCH("Ordinance",$L145)),7/6,1) *
IF(OR(ISNUMBER(SEARCH("Melee",$L145)),ISNUMBER(SEARCH("Bypass",$L145))),1.5,1)</f>
        <v>0.55555555555555558</v>
      </c>
      <c r="AG145" s="16">
        <f t="shared" si="35"/>
        <v>0.88888888888888884</v>
      </c>
      <c r="AH145" s="16">
        <f t="shared" si="36"/>
        <v>1.3333333333333333</v>
      </c>
      <c r="AI145" s="17" cm="1">
        <f t="array" ref="AI145">$H145 *
IF(ISNUMBER(SEARCH("Rapid",$L145)),7/6,1) *
IF(OR(ISNUMBER(SEARCH("Beam",$L145)),ISNUMBER(SEARCH("Firestorm",$L145))),1, IF(ISNUMBER(SEARCH("Blast",$L145)),(4+$G145+(2-$G145)*0.5)/6*2,(4+$G145)/6)) *
_xlfn.IFS(AI$24-$I145 &lt;=1, 5/6, AI$24-$I145 &lt;=5, (7-(AI$24-$I145))/6, AND(AI$24-$I145 =6,NOT(_xlfn.IFNA(ISNUMBER(SEARCH("Rending",$L145)),FALSE))), (7-(AI$24-$I145))/6, AND(AI$24-$I145 &gt;=7,NOT(_xlfn.IFNA(ISNUMBER(SEARCH("Rending",$L145)),FALSE))), 0, AI$24-$I145 =7, (7-(AI$24-1-$I145))/6, AI$24-$I145 =8, (7-(AI$24-2-$I145))/6*2/3, AI$24-$I145 =9, (7-(AI$24-3-$I145))/6*1/3, TRUE, 0) *
IF(ISNUMBER(SEARCH("Ordinance",$L145)),7/6,1) *
IF(OR(ISNUMBER(SEARCH("Melee",$L145)),ISNUMBER(SEARCH("Bypass",$L145))),1.5,1)</f>
        <v>2.2222222222222223</v>
      </c>
      <c r="AJ145" s="17" cm="1">
        <f t="array" ref="AJ145">$H145 *
IF(ISNUMBER(SEARCH("Rapid",$L145)),7/6,1) *
IF(OR(ISNUMBER(SEARCH("Beam",$L145)),ISNUMBER(SEARCH("Firestorm",$L145))),1, IF(ISNUMBER(SEARCH("Blast",$L145)),(4+$G145+(2-$G145)*0.5)/6*2,(4+$G145)/6)) *
_xlfn.IFS(AJ$24-$I145 &lt;=1, 5/6, AJ$24-$I145 &lt;=5, (7-(AJ$24-$I145))/6, AND(AJ$24-$I145 =6,NOT(_xlfn.IFNA(ISNUMBER(SEARCH("Rending",$L145)),FALSE))), (7-(AJ$24-$I145))/6, AND(AJ$24-$I145 &gt;=7,NOT(_xlfn.IFNA(ISNUMBER(SEARCH("Rending",$L145)),FALSE))), 0, AJ$24-$I145 =7, (7-(AJ$24-1-$I145))/6, AJ$24-$I145 =8, (7-(AJ$24-2-$I145))/6*2/3, AJ$24-$I145 =9, (7-(AJ$24-3-$I145))/6*1/3, TRUE, 0) *
IF(ISNUMBER(SEARCH("Ordinance",$L145)),7/6,1) *
IF(OR(ISNUMBER(SEARCH("Melee",$L145)),ISNUMBER(SEARCH("Bypass",$L145))),1.5,1)</f>
        <v>2.2222222222222223</v>
      </c>
      <c r="AK145" s="17" cm="1">
        <f t="array" ref="AK145">$H145 *
IF(ISNUMBER(SEARCH("Rapid",$L145)),7/6,1) *
IF(OR(ISNUMBER(SEARCH("Beam",$L145)),ISNUMBER(SEARCH("Firestorm",$L145))),1, IF(ISNUMBER(SEARCH("Blast",$L145)),(4+$G145+(2-$G145)*0.5)/6*2,(4+$G145)/6)) *
_xlfn.IFS(AK$24-$I145 &lt;=1, 5/6, AK$24-$I145 &lt;=5, (7-(AK$24-$I145))/6, AND(AK$24-$I145 =6,NOT(_xlfn.IFNA(ISNUMBER(SEARCH("Rending",$L145)),FALSE))), (7-(AK$24-$I145))/6, AND(AK$24-$I145 &gt;=7,NOT(_xlfn.IFNA(ISNUMBER(SEARCH("Rending",$L145)),FALSE))), 0, AK$24-$I145 =7, (7-(AK$24-1-$I145))/6, AK$24-$I145 =8, (7-(AK$24-2-$I145))/6*2/3, AK$24-$I145 =9, (7-(AK$24-3-$I145))/6*1/3, TRUE, 0) *
IF(ISNUMBER(SEARCH("Ordinance",$L145)),7/6,1) *
IF(OR(ISNUMBER(SEARCH("Melee",$L145)),ISNUMBER(SEARCH("Bypass",$L145))),1.5,1)</f>
        <v>2.2222222222222223</v>
      </c>
      <c r="AL145" s="17" cm="1">
        <f t="array" ref="AL145">$H145 *
IF(ISNUMBER(SEARCH("Rapid",$L145)),7/6,1) *
IF(OR(ISNUMBER(SEARCH("Beam",$L145)),ISNUMBER(SEARCH("Firestorm",$L145))),1, IF(ISNUMBER(SEARCH("Blast",$L145)),(4+$G145+(2-$G145)*0.5)/6*2,(4+$G145)/6)) *
_xlfn.IFS(AL$24-$I145 &lt;=1, 5/6, AL$24-$I145 &lt;=5, (7-(AL$24-$I145))/6, AND(AL$24-$I145 =6,NOT(_xlfn.IFNA(ISNUMBER(SEARCH("Rending",$L145)),FALSE))), (7-(AL$24-$I145))/6, AND(AL$24-$I145 &gt;=7,NOT(_xlfn.IFNA(ISNUMBER(SEARCH("Rending",$L145)),FALSE))), 0, AL$24-$I145 =7, (7-(AL$24-1-$I145))/6, AL$24-$I145 =8, (7-(AL$24-2-$I145))/6*2/3, AL$24-$I145 =9, (7-(AL$24-3-$I145))/6*1/3, TRUE, 0) *
IF(ISNUMBER(SEARCH("Ordinance",$L145)),7/6,1) *
IF(OR(ISNUMBER(SEARCH("Melee",$L145)),ISNUMBER(SEARCH("Bypass",$L145))),1.5,1)</f>
        <v>2.2222222222222223</v>
      </c>
      <c r="AM145" s="17" cm="1">
        <f t="array" ref="AM145">$H145 *
IF(ISNUMBER(SEARCH("Rapid",$L145)),7/6,1) *
IF(OR(ISNUMBER(SEARCH("Beam",$L145)),ISNUMBER(SEARCH("Firestorm",$L145))),1, IF(ISNUMBER(SEARCH("Blast",$L145)),(4+$G145+(2-$G145)*0.5)/6*2,(4+$G145)/6)) *
_xlfn.IFS(AM$24-$I145 &lt;=1, 5/6, AM$24-$I145 &lt;=5, (7-(AM$24-$I145))/6, AND(AM$24-$I145 =6,NOT(_xlfn.IFNA(ISNUMBER(SEARCH("Rending",$L145)),FALSE))), (7-(AM$24-$I145))/6, AND(AM$24-$I145 &gt;=7,NOT(_xlfn.IFNA(ISNUMBER(SEARCH("Rending",$L145)),FALSE))), 0, AM$24-$I145 =7, (7-(AM$24-1-$I145))/6, AM$24-$I145 =8, (7-(AM$24-2-$I145))/6*2/3, AM$24-$I145 =9, (7-(AM$24-3-$I145))/6*1/3, TRUE, 0) *
IF(ISNUMBER(SEARCH("Ordinance",$L145)),7/6,1) *
IF(OR(ISNUMBER(SEARCH("Melee",$L145)),ISNUMBER(SEARCH("Bypass",$L145))),1.5,1)</f>
        <v>2.2222222222222223</v>
      </c>
      <c r="AN145" s="17" cm="1">
        <f t="array" ref="AN145">$H145 *
IF(ISNUMBER(SEARCH("Rapid",$L145)),7/6,1) *
IF(OR(ISNUMBER(SEARCH("Beam",$L145)),ISNUMBER(SEARCH("Firestorm",$L145))),1, IF(ISNUMBER(SEARCH("Blast",$L145)),(4+$G145+(2-$G145)*0.5)/6*2,(4+$G145)/6)) *
_xlfn.IFS(AN$24-$I145 &lt;=1, 5/6, AN$24-$I145 &lt;=5, (7-(AN$24-$I145))/6, AND(AN$24-$I145 =6,NOT(_xlfn.IFNA(ISNUMBER(SEARCH("Rending",$L145)),FALSE))), (7-(AN$24-$I145))/6, AND(AN$24-$I145 &gt;=7,NOT(_xlfn.IFNA(ISNUMBER(SEARCH("Rending",$L145)),FALSE))), 0, AN$24-$I145 =7, (7-(AN$24-1-$I145))/6, AN$24-$I145 =8, (7-(AN$24-2-$I145))/6*2/3, AN$24-$I145 =9, (7-(AN$24-3-$I145))/6*1/3, TRUE, 0) *
IF(ISNUMBER(SEARCH("Ordinance",$L145)),7/6,1) *
IF(OR(ISNUMBER(SEARCH("Melee",$L145)),ISNUMBER(SEARCH("Bypass",$L145))),1.5,1)</f>
        <v>1.7777777777777777</v>
      </c>
      <c r="AO145" s="17" cm="1">
        <f t="array" ref="AO145">$H145 *
IF(ISNUMBER(SEARCH("Rapid",$L145)),7/6,1) *
IF(OR(ISNUMBER(SEARCH("Beam",$L145)),ISNUMBER(SEARCH("Firestorm",$L145))),1, IF(ISNUMBER(SEARCH("Blast",$L145)),(4+$G145+(2-$G145)*0.5)/6*2,(4+$G145)/6)) *
_xlfn.IFS(AO$24-$I145 &lt;=1, 5/6, AO$24-$I145 &lt;=5, (7-(AO$24-$I145))/6, AND(AO$24-$I145 =6,NOT(_xlfn.IFNA(ISNUMBER(SEARCH("Rending",$L145)),FALSE))), (7-(AO$24-$I145))/6, AND(AO$24-$I145 &gt;=7,NOT(_xlfn.IFNA(ISNUMBER(SEARCH("Rending",$L145)),FALSE))), 0, AO$24-$I145 =7, (7-(AO$24-1-$I145))/6, AO$24-$I145 =8, (7-(AO$24-2-$I145))/6*2/3, AO$24-$I145 =9, (7-(AO$24-3-$I145))/6*1/3, TRUE, 0) *
IF(ISNUMBER(SEARCH("Ordinance",$L145)),7/6,1) *
IF(OR(ISNUMBER(SEARCH("Melee",$L145)),ISNUMBER(SEARCH("Bypass",$L145))),1.5,1)</f>
        <v>1.3333333333333333</v>
      </c>
      <c r="AP145" s="17" cm="1">
        <f t="array" ref="AP145">$H145 *
IF(ISNUMBER(SEARCH("Rapid",$L145)),7/6,1) *
IF(OR(ISNUMBER(SEARCH("Beam",$L145)),ISNUMBER(SEARCH("Firestorm",$L145))),1, IF(ISNUMBER(SEARCH("Blast",$L145)),(4+$G145+(2-$G145)*0.5)/6*2,(4+$G145)/6)) *
_xlfn.IFS(AP$24-$I145 &lt;=1, 5/6, AP$24-$I145 &lt;=5, (7-(AP$24-$I145))/6, AND(AP$24-$I145 =6,NOT(_xlfn.IFNA(ISNUMBER(SEARCH("Rending",$L145)),FALSE))), (7-(AP$24-$I145))/6, AND(AP$24-$I145 &gt;=7,NOT(_xlfn.IFNA(ISNUMBER(SEARCH("Rending",$L145)),FALSE))), 0, AP$24-$I145 =7, (7-(AP$24-1-$I145))/6, AP$24-$I145 =8, (7-(AP$24-2-$I145))/6*2/3, AP$24-$I145 =9, (7-(AP$24-3-$I145))/6*1/3, TRUE, 0) *
IF(ISNUMBER(SEARCH("Ordinance",$L145)),7/6,1) *
IF(OR(ISNUMBER(SEARCH("Melee",$L145)),ISNUMBER(SEARCH("Bypass",$L145))),1.5,1)</f>
        <v>0.88888888888888884</v>
      </c>
      <c r="AQ145" s="17" cm="1">
        <f t="array" ref="AQ145">$H145 *
IF(ISNUMBER(SEARCH("Rapid",$L145)),7/6,1) *
IF(OR(ISNUMBER(SEARCH("Beam",$L145)),ISNUMBER(SEARCH("Firestorm",$L145))),1, IF(ISNUMBER(SEARCH("Blast",$L145)),(4+$G145+(2-$G145)*0.5)/6*2,(4+$G145)/6)) *
_xlfn.IFS(AQ$24-$I145 &lt;=1, 5/6, AQ$24-$I145 &lt;=5, (7-(AQ$24-$I145))/6, AND(AQ$24-$I145 =6,NOT(_xlfn.IFNA(ISNUMBER(SEARCH("Rending",$L145)),FALSE))), (7-(AQ$24-$I145))/6, AND(AQ$24-$I145 &gt;=7,NOT(_xlfn.IFNA(ISNUMBER(SEARCH("Rending",$L145)),FALSE))), 0, AQ$24-$I145 =7, (7-(AQ$24-1-$I145))/6, AQ$24-$I145 =8, (7-(AQ$24-2-$I145))/6*2/3, AQ$24-$I145 =9, (7-(AQ$24-3-$I145))/6*1/3, TRUE, 0) *
IF(ISNUMBER(SEARCH("Ordinance",$L145)),7/6,1) *
IF(OR(ISNUMBER(SEARCH("Melee",$L145)),ISNUMBER(SEARCH("Bypass",$L145))),1.5,1)</f>
        <v>0.44444444444444442</v>
      </c>
      <c r="AS145" s="16">
        <f t="shared" ref="AS145:AS151" si="38">IF($E145=1,AG145*3,IF($E145=2,2*AG145,1.1*AG145))/3</f>
        <v>0.88888888888888884</v>
      </c>
      <c r="AT145" s="16">
        <f t="shared" ref="AT145:AT151" si="39">IF($E145=1,AH145*3,IF($E145=2,2*AH145,1.1*AH145))/3</f>
        <v>1.3333333333333333</v>
      </c>
      <c r="AU145" s="16">
        <f t="shared" ref="AU145:AU152" si="40">IF(D145+E145=3,
 IF(E145=3, 2.5*AI145,
  IF(E145=2, 1.8*AI145+0.7*X145,
   IF(E145=1, 0.95*AI145+1.55*X145,
    2.5*X145))),
 IF(D145+E145=2,
  IF(E145=2, 1.55*AI145,
   IF(E145 =1, 0.85*AI145+0.7*X145,
    1.55*X145)),
  IF(E145=1, 0.95*AI145,
   0.7*X145))
)/3</f>
        <v>2.1388888888888893</v>
      </c>
      <c r="AV145" s="2">
        <v>12</v>
      </c>
    </row>
    <row r="146" spans="1:48" x14ac:dyDescent="0.3">
      <c r="A146" t="s">
        <v>574</v>
      </c>
      <c r="B146" s="3">
        <v>24</v>
      </c>
      <c r="C146" s="3">
        <v>48</v>
      </c>
      <c r="D146" s="3">
        <v>2</v>
      </c>
      <c r="E146" s="3">
        <v>1</v>
      </c>
      <c r="F146" s="10">
        <v>1</v>
      </c>
      <c r="G146" s="10"/>
      <c r="H146" s="3">
        <v>6</v>
      </c>
      <c r="I146" s="3">
        <v>9</v>
      </c>
      <c r="J146" s="3" t="s">
        <v>575</v>
      </c>
      <c r="K146" s="3">
        <v>80</v>
      </c>
      <c r="L146" s="3" t="s">
        <v>576</v>
      </c>
      <c r="M146" s="3" t="s">
        <v>199</v>
      </c>
      <c r="N146" s="3">
        <v>13</v>
      </c>
      <c r="O146" s="3">
        <v>13</v>
      </c>
      <c r="P146" s="3">
        <v>15</v>
      </c>
      <c r="Q146" s="3" t="s">
        <v>200</v>
      </c>
      <c r="R146" s="3">
        <v>7</v>
      </c>
      <c r="S146" s="3">
        <v>9</v>
      </c>
      <c r="T146" s="3">
        <v>4</v>
      </c>
      <c r="V146" s="16">
        <f t="shared" si="33"/>
        <v>1.6666666666666665</v>
      </c>
      <c r="W146" s="16">
        <f t="shared" si="34"/>
        <v>2.5</v>
      </c>
      <c r="X146" s="17" cm="1">
        <f t="array" ref="X146">$H146 *
IF(ISNUMBER(SEARCH("Rapid",$L146)),7/6,1) *
IF(OR(ISNUMBER(SEARCH("Beam",$L146)),ISNUMBER(SEARCH("Firestorm",$L146))),1, IF(ISNUMBER(SEARCH("Blast",$L146)),(4+$F146+(2-$F146)*0.5)/6*2,(4+$F146)/6)) *
IF(ISNUMBER(SEARCH("Fusion",$L146)), _xlfn.IFS(X$24-$I146 &lt;=1, 9/10, X$24-$I146 &lt;=10,(11-(X$24-$I146))/10, X$24-$I146 &gt;=11, 0),
_xlfn.IFS(X$24-$I146 &lt;=1, 5/6, X$24-$I146 &lt;=5, (7-(X$24-$I146))/6, AND(X$24-$I146 =6,NOT(_xlfn.IFNA(ISNUMBER(SEARCH("Rending",$L146)),FALSE))), (7-(X$24-$I146))/6, AND(X$24-$I146 &gt;=7,NOT(_xlfn.IFNA(ISNUMBER(SEARCH("Rending",$L146)),FALSE))), 0, X$24-$I146 =7, (7-(X$24-1-$I146))/6, X$24-$I146 =8, (7-(X$24-2-$I146))/6*2/3, X$24-$I146 =9, (7-(X$24-3-$I146))/6*1/3, TRUE, 0)) *
IF(ISNUMBER(SEARCH("Ordinance",$L146)),7/6,1) *
IF(OR(ISNUMBER(SEARCH("Melee",$L146)),ISNUMBER(SEARCH("Bypass",$L146))),1.5,1)</f>
        <v>4.166666666666667</v>
      </c>
      <c r="Y146" s="17" cm="1">
        <f t="array" ref="Y146">$H146 *
IF(ISNUMBER(SEARCH("Rapid",$L146)),7/6,1) *
IF(OR(ISNUMBER(SEARCH("Beam",$L146)),ISNUMBER(SEARCH("Firestorm",$L146))),1, IF(ISNUMBER(SEARCH("Blast",$L146)),(4+$F146+(2-$F146)*0.5)/6*2,(4+$F146)/6)) *
IF(ISNUMBER(SEARCH("Fusion",$L146)), _xlfn.IFS(Y$24-$I146 &lt;=1, 9/10, Y$24-$I146 &lt;=10,(11-(Y$24-$I146))/10, Y$24-$I146 &gt;=11, 0),
_xlfn.IFS(Y$24-$I146 &lt;=1, 5/6, Y$24-$I146 &lt;=5, (7-(Y$24-$I146))/6, AND(Y$24-$I146 =6,NOT(_xlfn.IFNA(ISNUMBER(SEARCH("Rending",$L146)),FALSE))), (7-(Y$24-$I146))/6, AND(Y$24-$I146 &gt;=7,NOT(_xlfn.IFNA(ISNUMBER(SEARCH("Rending",$L146)),FALSE))), 0, Y$24-$I146 =7, (7-(Y$24-1-$I146))/6, Y$24-$I146 =8, (7-(Y$24-2-$I146))/6*2/3, Y$24-$I146 =9, (7-(Y$24-3-$I146))/6*1/3, TRUE, 0)) *
IF(ISNUMBER(SEARCH("Ordinance",$L146)),7/6,1) *
IF(OR(ISNUMBER(SEARCH("Melee",$L146)),ISNUMBER(SEARCH("Bypass",$L146))),1.5,1)</f>
        <v>4.166666666666667</v>
      </c>
      <c r="Z146" s="17" cm="1">
        <f t="array" ref="Z146">$H146 *
IF(ISNUMBER(SEARCH("Rapid",$L146)),7/6,1) *
IF(OR(ISNUMBER(SEARCH("Beam",$L146)),ISNUMBER(SEARCH("Firestorm",$L146))),1, IF(ISNUMBER(SEARCH("Blast",$L146)),(4+$F146+(2-$F146)*0.5)/6*2,(4+$F146)/6)) *
IF(ISNUMBER(SEARCH("Fusion",$L146)), _xlfn.IFS(Z$24-$I146 &lt;=1, 9/10, Z$24-$I146 &lt;=10,(11-(Z$24-$I146))/10, Z$24-$I146 &gt;=11, 0),
_xlfn.IFS(Z$24-$I146 &lt;=1, 5/6, Z$24-$I146 &lt;=5, (7-(Z$24-$I146))/6, AND(Z$24-$I146 =6,NOT(_xlfn.IFNA(ISNUMBER(SEARCH("Rending",$L146)),FALSE))), (7-(Z$24-$I146))/6, AND(Z$24-$I146 &gt;=7,NOT(_xlfn.IFNA(ISNUMBER(SEARCH("Rending",$L146)),FALSE))), 0, Z$24-$I146 =7, (7-(Z$24-1-$I146))/6, Z$24-$I146 =8, (7-(Z$24-2-$I146))/6*2/3, Z$24-$I146 =9, (7-(Z$24-3-$I146))/6*1/3, TRUE, 0)) *
IF(ISNUMBER(SEARCH("Ordinance",$L146)),7/6,1) *
IF(OR(ISNUMBER(SEARCH("Melee",$L146)),ISNUMBER(SEARCH("Bypass",$L146))),1.5,1)</f>
        <v>4.166666666666667</v>
      </c>
      <c r="AA146" s="17" cm="1">
        <f t="array" ref="AA146">$H146 *
IF(ISNUMBER(SEARCH("Rapid",$L146)),7/6,1) *
IF(OR(ISNUMBER(SEARCH("Beam",$L146)),ISNUMBER(SEARCH("Firestorm",$L146))),1, IF(ISNUMBER(SEARCH("Blast",$L146)),(4+$F146+(2-$F146)*0.5)/6*2,(4+$F146)/6)) *
IF(ISNUMBER(SEARCH("Fusion",$L146)), _xlfn.IFS(AA$24-$I146 &lt;=1, 9/10, AA$24-$I146 &lt;=10,(11-(AA$24-$I146))/10, AA$24-$I146 &gt;=11, 0),
_xlfn.IFS(AA$24-$I146 &lt;=1, 5/6, AA$24-$I146 &lt;=5, (7-(AA$24-$I146))/6, AND(AA$24-$I146 =6,NOT(_xlfn.IFNA(ISNUMBER(SEARCH("Rending",$L146)),FALSE))), (7-(AA$24-$I146))/6, AND(AA$24-$I146 &gt;=7,NOT(_xlfn.IFNA(ISNUMBER(SEARCH("Rending",$L146)),FALSE))), 0, AA$24-$I146 =7, (7-(AA$24-1-$I146))/6, AA$24-$I146 =8, (7-(AA$24-2-$I146))/6*2/3, AA$24-$I146 =9, (7-(AA$24-3-$I146))/6*1/3, TRUE, 0)) *
IF(ISNUMBER(SEARCH("Ordinance",$L146)),7/6,1) *
IF(OR(ISNUMBER(SEARCH("Melee",$L146)),ISNUMBER(SEARCH("Bypass",$L146))),1.5,1)</f>
        <v>3.333333333333333</v>
      </c>
      <c r="AB146" s="17" cm="1">
        <f t="array" ref="AB146">$H146 *
IF(ISNUMBER(SEARCH("Rapid",$L146)),7/6,1) *
IF(OR(ISNUMBER(SEARCH("Beam",$L146)),ISNUMBER(SEARCH("Firestorm",$L146))),1, IF(ISNUMBER(SEARCH("Blast",$L146)),(4+$F146+(2-$F146)*0.5)/6*2,(4+$F146)/6)) *
IF(ISNUMBER(SEARCH("Fusion",$L146)), _xlfn.IFS(AB$24-$I146 &lt;=1, 9/10, AB$24-$I146 &lt;=10,(11-(AB$24-$I146))/10, AB$24-$I146 &gt;=11, 0),
_xlfn.IFS(AB$24-$I146 &lt;=1, 5/6, AB$24-$I146 &lt;=5, (7-(AB$24-$I146))/6, AND(AB$24-$I146 =6,NOT(_xlfn.IFNA(ISNUMBER(SEARCH("Rending",$L146)),FALSE))), (7-(AB$24-$I146))/6, AND(AB$24-$I146 &gt;=7,NOT(_xlfn.IFNA(ISNUMBER(SEARCH("Rending",$L146)),FALSE))), 0, AB$24-$I146 =7, (7-(AB$24-1-$I146))/6, AB$24-$I146 =8, (7-(AB$24-2-$I146))/6*2/3, AB$24-$I146 =9, (7-(AB$24-3-$I146))/6*1/3, TRUE, 0)) *
IF(ISNUMBER(SEARCH("Ordinance",$L146)),7/6,1) *
IF(OR(ISNUMBER(SEARCH("Melee",$L146)),ISNUMBER(SEARCH("Bypass",$L146))),1.5,1)</f>
        <v>2.5</v>
      </c>
      <c r="AC146" s="17" cm="1">
        <f t="array" ref="AC146">$H146 *
IF(ISNUMBER(SEARCH("Rapid",$L146)),7/6,1) *
IF(OR(ISNUMBER(SEARCH("Beam",$L146)),ISNUMBER(SEARCH("Firestorm",$L146))),1, IF(ISNUMBER(SEARCH("Blast",$L146)),(4+$F146+(2-$F146)*0.5)/6*2,(4+$F146)/6)) *
IF(ISNUMBER(SEARCH("Fusion",$L146)), _xlfn.IFS(AC$24-$I146 &lt;=1, 9/10, AC$24-$I146 &lt;=10,(11-(AC$24-$I146))/10, AC$24-$I146 &gt;=11, 0),
_xlfn.IFS(AC$24-$I146 &lt;=1, 5/6, AC$24-$I146 &lt;=5, (7-(AC$24-$I146))/6, AND(AC$24-$I146 =6,NOT(_xlfn.IFNA(ISNUMBER(SEARCH("Rending",$L146)),FALSE))), (7-(AC$24-$I146))/6, AND(AC$24-$I146 &gt;=7,NOT(_xlfn.IFNA(ISNUMBER(SEARCH("Rending",$L146)),FALSE))), 0, AC$24-$I146 =7, (7-(AC$24-1-$I146))/6, AC$24-$I146 =8, (7-(AC$24-2-$I146))/6*2/3, AC$24-$I146 =9, (7-(AC$24-3-$I146))/6*1/3, TRUE, 0)) *
IF(ISNUMBER(SEARCH("Ordinance",$L146)),7/6,1) *
IF(OR(ISNUMBER(SEARCH("Melee",$L146)),ISNUMBER(SEARCH("Bypass",$L146))),1.5,1)</f>
        <v>1.6666666666666665</v>
      </c>
      <c r="AD146" s="17" cm="1">
        <f t="array" ref="AD146">$H146 *
IF(ISNUMBER(SEARCH("Rapid",$L146)),7/6,1) *
IF(OR(ISNUMBER(SEARCH("Beam",$L146)),ISNUMBER(SEARCH("Firestorm",$L146))),1, IF(ISNUMBER(SEARCH("Blast",$L146)),(4+$F146+(2-$F146)*0.5)/6*2,(4+$F146)/6)) *
IF(ISNUMBER(SEARCH("Fusion",$L146)), _xlfn.IFS(AD$24-$I146 &lt;=1, 9/10, AD$24-$I146 &lt;=10,(11-(AD$24-$I146))/10, AD$24-$I146 &gt;=11, 0),
_xlfn.IFS(AD$24-$I146 &lt;=1, 5/6, AD$24-$I146 &lt;=5, (7-(AD$24-$I146))/6, AND(AD$24-$I146 =6,NOT(_xlfn.IFNA(ISNUMBER(SEARCH("Rending",$L146)),FALSE))), (7-(AD$24-$I146))/6, AND(AD$24-$I146 &gt;=7,NOT(_xlfn.IFNA(ISNUMBER(SEARCH("Rending",$L146)),FALSE))), 0, AD$24-$I146 =7, (7-(AD$24-1-$I146))/6, AD$24-$I146 =8, (7-(AD$24-2-$I146))/6*2/3, AD$24-$I146 =9, (7-(AD$24-3-$I146))/6*1/3, TRUE, 0)) *
IF(ISNUMBER(SEARCH("Ordinance",$L146)),7/6,1) *
IF(OR(ISNUMBER(SEARCH("Melee",$L146)),ISNUMBER(SEARCH("Bypass",$L146))),1.5,1)</f>
        <v>0.83333333333333326</v>
      </c>
      <c r="AE146" s="17" cm="1">
        <f t="array" ref="AE146">$H146 *
IF(ISNUMBER(SEARCH("Rapid",$L146)),7/6,1) *
IF(OR(ISNUMBER(SEARCH("Beam",$L146)),ISNUMBER(SEARCH("Firestorm",$L146))),1, IF(ISNUMBER(SEARCH("Blast",$L146)),(4+$F146+(2-$F146)*0.5)/6*2,(4+$F146)/6)) *
IF(ISNUMBER(SEARCH("Fusion",$L146)), _xlfn.IFS(AE$24-$I146 &lt;=1, 9/10, AE$24-$I146 &lt;=10,(11-(AE$24-$I146))/10, AE$24-$I146 &gt;=11, 0),
_xlfn.IFS(AE$24-$I146 &lt;=1, 5/6, AE$24-$I146 &lt;=5, (7-(AE$24-$I146))/6, AND(AE$24-$I146 =6,NOT(_xlfn.IFNA(ISNUMBER(SEARCH("Rending",$L146)),FALSE))), (7-(AE$24-$I146))/6, AND(AE$24-$I146 &gt;=7,NOT(_xlfn.IFNA(ISNUMBER(SEARCH("Rending",$L146)),FALSE))), 0, AE$24-$I146 =7, (7-(AE$24-1-$I146))/6, AE$24-$I146 =8, (7-(AE$24-2-$I146))/6*2/3, AE$24-$I146 =9, (7-(AE$24-3-$I146))/6*1/3, TRUE, 0)) *
IF(ISNUMBER(SEARCH("Ordinance",$L146)),7/6,1) *
IF(OR(ISNUMBER(SEARCH("Melee",$L146)),ISNUMBER(SEARCH("Bypass",$L146))),1.5,1)</f>
        <v>0</v>
      </c>
      <c r="AF146" s="17" cm="1">
        <f t="array" ref="AF146">$H146 *
IF(ISNUMBER(SEARCH("Rapid",$L146)),7/6,1) *
IF(OR(ISNUMBER(SEARCH("Beam",$L146)),ISNUMBER(SEARCH("Firestorm",$L146))),1, IF(ISNUMBER(SEARCH("Blast",$L146)),(4+$F146+(2-$F146)*0.5)/6*2,(4+$F146)/6)) *
IF(ISNUMBER(SEARCH("Fusion",$L146)), _xlfn.IFS(AF$24-$I146 &lt;=1, 9/10, AF$24-$I146 &lt;=10,(11-(AF$24-$I146))/10, AF$24-$I146 &gt;=11, 0),
_xlfn.IFS(AF$24-$I146 &lt;=1, 5/6, AF$24-$I146 &lt;=5, (7-(AF$24-$I146))/6, AND(AF$24-$I146 =6,NOT(_xlfn.IFNA(ISNUMBER(SEARCH("Rending",$L146)),FALSE))), (7-(AF$24-$I146))/6, AND(AF$24-$I146 &gt;=7,NOT(_xlfn.IFNA(ISNUMBER(SEARCH("Rending",$L146)),FALSE))), 0, AF$24-$I146 =7, (7-(AF$24-1-$I146))/6, AF$24-$I146 =8, (7-(AF$24-2-$I146))/6*2/3, AF$24-$I146 =9, (7-(AF$24-3-$I146))/6*1/3, TRUE, 0)) *
IF(ISNUMBER(SEARCH("Ordinance",$L146)),7/6,1) *
IF(OR(ISNUMBER(SEARCH("Melee",$L146)),ISNUMBER(SEARCH("Bypass",$L146))),1.5,1)</f>
        <v>0</v>
      </c>
      <c r="AG146" s="16">
        <f t="shared" si="35"/>
        <v>1.3333333333333333</v>
      </c>
      <c r="AH146" s="16">
        <f t="shared" si="36"/>
        <v>2</v>
      </c>
      <c r="AI146" s="17" cm="1">
        <f t="array" ref="AI146">$H146 *
IF(ISNUMBER(SEARCH("Rapid",$L146)),7/6,1) *
IF(OR(ISNUMBER(SEARCH("Beam",$L146)),ISNUMBER(SEARCH("Firestorm",$L146))),1, IF(ISNUMBER(SEARCH("Blast",$L146)),(4+$G146+(2-$G146)*0.5)/6*2,(4+$G146)/6)) *
_xlfn.IFS(AI$24-$I146 &lt;=1, 5/6, AI$24-$I146 &lt;=5, (7-(AI$24-$I146))/6, AND(AI$24-$I146 =6,NOT(_xlfn.IFNA(ISNUMBER(SEARCH("Rending",$L146)),FALSE))), (7-(AI$24-$I146))/6, AND(AI$24-$I146 &gt;=7,NOT(_xlfn.IFNA(ISNUMBER(SEARCH("Rending",$L146)),FALSE))), 0, AI$24-$I146 =7, (7-(AI$24-1-$I146))/6, AI$24-$I146 =8, (7-(AI$24-2-$I146))/6*2/3, AI$24-$I146 =9, (7-(AI$24-3-$I146))/6*1/3, TRUE, 0) *
IF(ISNUMBER(SEARCH("Ordinance",$L146)),7/6,1) *
IF(OR(ISNUMBER(SEARCH("Melee",$L146)),ISNUMBER(SEARCH("Bypass",$L146))),1.5,1)</f>
        <v>3.3333333333333335</v>
      </c>
      <c r="AJ146" s="17" cm="1">
        <f t="array" ref="AJ146">$H146 *
IF(ISNUMBER(SEARCH("Rapid",$L146)),7/6,1) *
IF(OR(ISNUMBER(SEARCH("Beam",$L146)),ISNUMBER(SEARCH("Firestorm",$L146))),1, IF(ISNUMBER(SEARCH("Blast",$L146)),(4+$G146+(2-$G146)*0.5)/6*2,(4+$G146)/6)) *
_xlfn.IFS(AJ$24-$I146 &lt;=1, 5/6, AJ$24-$I146 &lt;=5, (7-(AJ$24-$I146))/6, AND(AJ$24-$I146 =6,NOT(_xlfn.IFNA(ISNUMBER(SEARCH("Rending",$L146)),FALSE))), (7-(AJ$24-$I146))/6, AND(AJ$24-$I146 &gt;=7,NOT(_xlfn.IFNA(ISNUMBER(SEARCH("Rending",$L146)),FALSE))), 0, AJ$24-$I146 =7, (7-(AJ$24-1-$I146))/6, AJ$24-$I146 =8, (7-(AJ$24-2-$I146))/6*2/3, AJ$24-$I146 =9, (7-(AJ$24-3-$I146))/6*1/3, TRUE, 0) *
IF(ISNUMBER(SEARCH("Ordinance",$L146)),7/6,1) *
IF(OR(ISNUMBER(SEARCH("Melee",$L146)),ISNUMBER(SEARCH("Bypass",$L146))),1.5,1)</f>
        <v>3.3333333333333335</v>
      </c>
      <c r="AK146" s="17" cm="1">
        <f t="array" ref="AK146">$H146 *
IF(ISNUMBER(SEARCH("Rapid",$L146)),7/6,1) *
IF(OR(ISNUMBER(SEARCH("Beam",$L146)),ISNUMBER(SEARCH("Firestorm",$L146))),1, IF(ISNUMBER(SEARCH("Blast",$L146)),(4+$G146+(2-$G146)*0.5)/6*2,(4+$G146)/6)) *
_xlfn.IFS(AK$24-$I146 &lt;=1, 5/6, AK$24-$I146 &lt;=5, (7-(AK$24-$I146))/6, AND(AK$24-$I146 =6,NOT(_xlfn.IFNA(ISNUMBER(SEARCH("Rending",$L146)),FALSE))), (7-(AK$24-$I146))/6, AND(AK$24-$I146 &gt;=7,NOT(_xlfn.IFNA(ISNUMBER(SEARCH("Rending",$L146)),FALSE))), 0, AK$24-$I146 =7, (7-(AK$24-1-$I146))/6, AK$24-$I146 =8, (7-(AK$24-2-$I146))/6*2/3, AK$24-$I146 =9, (7-(AK$24-3-$I146))/6*1/3, TRUE, 0) *
IF(ISNUMBER(SEARCH("Ordinance",$L146)),7/6,1) *
IF(OR(ISNUMBER(SEARCH("Melee",$L146)),ISNUMBER(SEARCH("Bypass",$L146))),1.5,1)</f>
        <v>3.3333333333333335</v>
      </c>
      <c r="AL146" s="17" cm="1">
        <f t="array" ref="AL146">$H146 *
IF(ISNUMBER(SEARCH("Rapid",$L146)),7/6,1) *
IF(OR(ISNUMBER(SEARCH("Beam",$L146)),ISNUMBER(SEARCH("Firestorm",$L146))),1, IF(ISNUMBER(SEARCH("Blast",$L146)),(4+$G146+(2-$G146)*0.5)/6*2,(4+$G146)/6)) *
_xlfn.IFS(AL$24-$I146 &lt;=1, 5/6, AL$24-$I146 &lt;=5, (7-(AL$24-$I146))/6, AND(AL$24-$I146 =6,NOT(_xlfn.IFNA(ISNUMBER(SEARCH("Rending",$L146)),FALSE))), (7-(AL$24-$I146))/6, AND(AL$24-$I146 &gt;=7,NOT(_xlfn.IFNA(ISNUMBER(SEARCH("Rending",$L146)),FALSE))), 0, AL$24-$I146 =7, (7-(AL$24-1-$I146))/6, AL$24-$I146 =8, (7-(AL$24-2-$I146))/6*2/3, AL$24-$I146 =9, (7-(AL$24-3-$I146))/6*1/3, TRUE, 0) *
IF(ISNUMBER(SEARCH("Ordinance",$L146)),7/6,1) *
IF(OR(ISNUMBER(SEARCH("Melee",$L146)),ISNUMBER(SEARCH("Bypass",$L146))),1.5,1)</f>
        <v>2.6666666666666665</v>
      </c>
      <c r="AM146" s="17" cm="1">
        <f t="array" ref="AM146">$H146 *
IF(ISNUMBER(SEARCH("Rapid",$L146)),7/6,1) *
IF(OR(ISNUMBER(SEARCH("Beam",$L146)),ISNUMBER(SEARCH("Firestorm",$L146))),1, IF(ISNUMBER(SEARCH("Blast",$L146)),(4+$G146+(2-$G146)*0.5)/6*2,(4+$G146)/6)) *
_xlfn.IFS(AM$24-$I146 &lt;=1, 5/6, AM$24-$I146 &lt;=5, (7-(AM$24-$I146))/6, AND(AM$24-$I146 =6,NOT(_xlfn.IFNA(ISNUMBER(SEARCH("Rending",$L146)),FALSE))), (7-(AM$24-$I146))/6, AND(AM$24-$I146 &gt;=7,NOT(_xlfn.IFNA(ISNUMBER(SEARCH("Rending",$L146)),FALSE))), 0, AM$24-$I146 =7, (7-(AM$24-1-$I146))/6, AM$24-$I146 =8, (7-(AM$24-2-$I146))/6*2/3, AM$24-$I146 =9, (7-(AM$24-3-$I146))/6*1/3, TRUE, 0) *
IF(ISNUMBER(SEARCH("Ordinance",$L146)),7/6,1) *
IF(OR(ISNUMBER(SEARCH("Melee",$L146)),ISNUMBER(SEARCH("Bypass",$L146))),1.5,1)</f>
        <v>2</v>
      </c>
      <c r="AN146" s="17" cm="1">
        <f t="array" ref="AN146">$H146 *
IF(ISNUMBER(SEARCH("Rapid",$L146)),7/6,1) *
IF(OR(ISNUMBER(SEARCH("Beam",$L146)),ISNUMBER(SEARCH("Firestorm",$L146))),1, IF(ISNUMBER(SEARCH("Blast",$L146)),(4+$G146+(2-$G146)*0.5)/6*2,(4+$G146)/6)) *
_xlfn.IFS(AN$24-$I146 &lt;=1, 5/6, AN$24-$I146 &lt;=5, (7-(AN$24-$I146))/6, AND(AN$24-$I146 =6,NOT(_xlfn.IFNA(ISNUMBER(SEARCH("Rending",$L146)),FALSE))), (7-(AN$24-$I146))/6, AND(AN$24-$I146 &gt;=7,NOT(_xlfn.IFNA(ISNUMBER(SEARCH("Rending",$L146)),FALSE))), 0, AN$24-$I146 =7, (7-(AN$24-1-$I146))/6, AN$24-$I146 =8, (7-(AN$24-2-$I146))/6*2/3, AN$24-$I146 =9, (7-(AN$24-3-$I146))/6*1/3, TRUE, 0) *
IF(ISNUMBER(SEARCH("Ordinance",$L146)),7/6,1) *
IF(OR(ISNUMBER(SEARCH("Melee",$L146)),ISNUMBER(SEARCH("Bypass",$L146))),1.5,1)</f>
        <v>1.3333333333333333</v>
      </c>
      <c r="AO146" s="17" cm="1">
        <f t="array" ref="AO146">$H146 *
IF(ISNUMBER(SEARCH("Rapid",$L146)),7/6,1) *
IF(OR(ISNUMBER(SEARCH("Beam",$L146)),ISNUMBER(SEARCH("Firestorm",$L146))),1, IF(ISNUMBER(SEARCH("Blast",$L146)),(4+$G146+(2-$G146)*0.5)/6*2,(4+$G146)/6)) *
_xlfn.IFS(AO$24-$I146 &lt;=1, 5/6, AO$24-$I146 &lt;=5, (7-(AO$24-$I146))/6, AND(AO$24-$I146 =6,NOT(_xlfn.IFNA(ISNUMBER(SEARCH("Rending",$L146)),FALSE))), (7-(AO$24-$I146))/6, AND(AO$24-$I146 &gt;=7,NOT(_xlfn.IFNA(ISNUMBER(SEARCH("Rending",$L146)),FALSE))), 0, AO$24-$I146 =7, (7-(AO$24-1-$I146))/6, AO$24-$I146 =8, (7-(AO$24-2-$I146))/6*2/3, AO$24-$I146 =9, (7-(AO$24-3-$I146))/6*1/3, TRUE, 0) *
IF(ISNUMBER(SEARCH("Ordinance",$L146)),7/6,1) *
IF(OR(ISNUMBER(SEARCH("Melee",$L146)),ISNUMBER(SEARCH("Bypass",$L146))),1.5,1)</f>
        <v>0.66666666666666663</v>
      </c>
      <c r="AP146" s="17" cm="1">
        <f t="array" ref="AP146">$H146 *
IF(ISNUMBER(SEARCH("Rapid",$L146)),7/6,1) *
IF(OR(ISNUMBER(SEARCH("Beam",$L146)),ISNUMBER(SEARCH("Firestorm",$L146))),1, IF(ISNUMBER(SEARCH("Blast",$L146)),(4+$G146+(2-$G146)*0.5)/6*2,(4+$G146)/6)) *
_xlfn.IFS(AP$24-$I146 &lt;=1, 5/6, AP$24-$I146 &lt;=5, (7-(AP$24-$I146))/6, AND(AP$24-$I146 =6,NOT(_xlfn.IFNA(ISNUMBER(SEARCH("Rending",$L146)),FALSE))), (7-(AP$24-$I146))/6, AND(AP$24-$I146 &gt;=7,NOT(_xlfn.IFNA(ISNUMBER(SEARCH("Rending",$L146)),FALSE))), 0, AP$24-$I146 =7, (7-(AP$24-1-$I146))/6, AP$24-$I146 =8, (7-(AP$24-2-$I146))/6*2/3, AP$24-$I146 =9, (7-(AP$24-3-$I146))/6*1/3, TRUE, 0) *
IF(ISNUMBER(SEARCH("Ordinance",$L146)),7/6,1) *
IF(OR(ISNUMBER(SEARCH("Melee",$L146)),ISNUMBER(SEARCH("Bypass",$L146))),1.5,1)</f>
        <v>0</v>
      </c>
      <c r="AQ146" s="17" cm="1">
        <f t="array" ref="AQ146">$H146 *
IF(ISNUMBER(SEARCH("Rapid",$L146)),7/6,1) *
IF(OR(ISNUMBER(SEARCH("Beam",$L146)),ISNUMBER(SEARCH("Firestorm",$L146))),1, IF(ISNUMBER(SEARCH("Blast",$L146)),(4+$G146+(2-$G146)*0.5)/6*2,(4+$G146)/6)) *
_xlfn.IFS(AQ$24-$I146 &lt;=1, 5/6, AQ$24-$I146 &lt;=5, (7-(AQ$24-$I146))/6, AND(AQ$24-$I146 =6,NOT(_xlfn.IFNA(ISNUMBER(SEARCH("Rending",$L146)),FALSE))), (7-(AQ$24-$I146))/6, AND(AQ$24-$I146 &gt;=7,NOT(_xlfn.IFNA(ISNUMBER(SEARCH("Rending",$L146)),FALSE))), 0, AQ$24-$I146 =7, (7-(AQ$24-1-$I146))/6, AQ$24-$I146 =8, (7-(AQ$24-2-$I146))/6*2/3, AQ$24-$I146 =9, (7-(AQ$24-3-$I146))/6*1/3, TRUE, 0) *
IF(ISNUMBER(SEARCH("Ordinance",$L146)),7/6,1) *
IF(OR(ISNUMBER(SEARCH("Melee",$L146)),ISNUMBER(SEARCH("Bypass",$L146))),1.5,1)</f>
        <v>0</v>
      </c>
      <c r="AS146" s="16">
        <f t="shared" si="38"/>
        <v>1.3333333333333333</v>
      </c>
      <c r="AT146" s="16">
        <f t="shared" si="39"/>
        <v>2</v>
      </c>
      <c r="AU146" s="16">
        <f t="shared" si="40"/>
        <v>3.2083333333333335</v>
      </c>
      <c r="AV146" s="2">
        <v>12</v>
      </c>
    </row>
    <row r="147" spans="1:48" x14ac:dyDescent="0.3">
      <c r="A147" t="s">
        <v>578</v>
      </c>
      <c r="B147" s="3">
        <v>30</v>
      </c>
      <c r="C147" s="3">
        <v>120</v>
      </c>
      <c r="D147" s="3">
        <v>1</v>
      </c>
      <c r="E147" s="3">
        <v>2</v>
      </c>
      <c r="F147" s="10"/>
      <c r="G147" s="10">
        <v>1</v>
      </c>
      <c r="H147" s="3">
        <v>10</v>
      </c>
      <c r="I147" s="3">
        <v>4</v>
      </c>
      <c r="J147" s="3" t="s">
        <v>579</v>
      </c>
      <c r="K147" s="3">
        <v>40</v>
      </c>
      <c r="L147" s="3" t="s">
        <v>258</v>
      </c>
      <c r="M147" s="3" t="s">
        <v>199</v>
      </c>
      <c r="N147" s="3">
        <v>11</v>
      </c>
      <c r="O147" s="3">
        <v>11</v>
      </c>
      <c r="P147" s="3">
        <v>14</v>
      </c>
      <c r="Q147" s="3" t="s">
        <v>200</v>
      </c>
      <c r="R147" s="3">
        <v>7</v>
      </c>
      <c r="S147" s="3">
        <v>9</v>
      </c>
      <c r="T147" s="3">
        <v>3</v>
      </c>
      <c r="V147" s="16">
        <f t="shared" si="33"/>
        <v>2.2222222222222219</v>
      </c>
      <c r="W147" s="16">
        <f t="shared" si="34"/>
        <v>3.333333333333333</v>
      </c>
      <c r="X147" s="17" cm="1">
        <f t="array" ref="X147">$H147 *
IF(ISNUMBER(SEARCH("Rapid",$L147)),7/6,1) *
IF(OR(ISNUMBER(SEARCH("Beam",$L147)),ISNUMBER(SEARCH("Firestorm",$L147))),1, IF(ISNUMBER(SEARCH("Blast",$L147)),(4+$F147+(2-$F147)*0.5)/6*2,(4+$F147)/6)) *
IF(ISNUMBER(SEARCH("Fusion",$L147)), _xlfn.IFS(X$24-$I147 &lt;=1, 9/10, X$24-$I147 &lt;=10,(11-(X$24-$I147))/10, X$24-$I147 &gt;=11, 0),
_xlfn.IFS(X$24-$I147 &lt;=1, 5/6, X$24-$I147 &lt;=5, (7-(X$24-$I147))/6, AND(X$24-$I147 =6,NOT(_xlfn.IFNA(ISNUMBER(SEARCH("Rending",$L147)),FALSE))), (7-(X$24-$I147))/6, AND(X$24-$I147 &gt;=7,NOT(_xlfn.IFNA(ISNUMBER(SEARCH("Rending",$L147)),FALSE))), 0, X$24-$I147 =7, (7-(X$24-1-$I147))/6, X$24-$I147 =8, (7-(X$24-2-$I147))/6*2/3, X$24-$I147 =9, (7-(X$24-3-$I147))/6*1/3, TRUE, 0)) *
IF(ISNUMBER(SEARCH("Ordinance",$L147)),7/6,1) *
IF(OR(ISNUMBER(SEARCH("Melee",$L147)),ISNUMBER(SEARCH("Bypass",$L147))),1.5,1)</f>
        <v>2.2222222222222219</v>
      </c>
      <c r="Y147" s="17" cm="1">
        <f t="array" ref="Y147">$H147 *
IF(ISNUMBER(SEARCH("Rapid",$L147)),7/6,1) *
IF(OR(ISNUMBER(SEARCH("Beam",$L147)),ISNUMBER(SEARCH("Firestorm",$L147))),1, IF(ISNUMBER(SEARCH("Blast",$L147)),(4+$F147+(2-$F147)*0.5)/6*2,(4+$F147)/6)) *
IF(ISNUMBER(SEARCH("Fusion",$L147)), _xlfn.IFS(Y$24-$I147 &lt;=1, 9/10, Y$24-$I147 &lt;=10,(11-(Y$24-$I147))/10, Y$24-$I147 &gt;=11, 0),
_xlfn.IFS(Y$24-$I147 &lt;=1, 5/6, Y$24-$I147 &lt;=5, (7-(Y$24-$I147))/6, AND(Y$24-$I147 =6,NOT(_xlfn.IFNA(ISNUMBER(SEARCH("Rending",$L147)),FALSE))), (7-(Y$24-$I147))/6, AND(Y$24-$I147 &gt;=7,NOT(_xlfn.IFNA(ISNUMBER(SEARCH("Rending",$L147)),FALSE))), 0, Y$24-$I147 =7, (7-(Y$24-1-$I147))/6, Y$24-$I147 =8, (7-(Y$24-2-$I147))/6*2/3, Y$24-$I147 =9, (7-(Y$24-3-$I147))/6*1/3, TRUE, 0)) *
IF(ISNUMBER(SEARCH("Ordinance",$L147)),7/6,1) *
IF(OR(ISNUMBER(SEARCH("Melee",$L147)),ISNUMBER(SEARCH("Bypass",$L147))),1.5,1)</f>
        <v>1.1111111111111109</v>
      </c>
      <c r="Z147" s="17" cm="1">
        <f t="array" ref="Z147">$H147 *
IF(ISNUMBER(SEARCH("Rapid",$L147)),7/6,1) *
IF(OR(ISNUMBER(SEARCH("Beam",$L147)),ISNUMBER(SEARCH("Firestorm",$L147))),1, IF(ISNUMBER(SEARCH("Blast",$L147)),(4+$F147+(2-$F147)*0.5)/6*2,(4+$F147)/6)) *
IF(ISNUMBER(SEARCH("Fusion",$L147)), _xlfn.IFS(Z$24-$I147 &lt;=1, 9/10, Z$24-$I147 &lt;=10,(11-(Z$24-$I147))/10, Z$24-$I147 &gt;=11, 0),
_xlfn.IFS(Z$24-$I147 &lt;=1, 5/6, Z$24-$I147 &lt;=5, (7-(Z$24-$I147))/6, AND(Z$24-$I147 =6,NOT(_xlfn.IFNA(ISNUMBER(SEARCH("Rending",$L147)),FALSE))), (7-(Z$24-$I147))/6, AND(Z$24-$I147 &gt;=7,NOT(_xlfn.IFNA(ISNUMBER(SEARCH("Rending",$L147)),FALSE))), 0, Z$24-$I147 =7, (7-(Z$24-1-$I147))/6, Z$24-$I147 =8, (7-(Z$24-2-$I147))/6*2/3, Z$24-$I147 =9, (7-(Z$24-3-$I147))/6*1/3, TRUE, 0)) *
IF(ISNUMBER(SEARCH("Ordinance",$L147)),7/6,1) *
IF(OR(ISNUMBER(SEARCH("Melee",$L147)),ISNUMBER(SEARCH("Bypass",$L147))),1.5,1)</f>
        <v>0</v>
      </c>
      <c r="AA147" s="17" cm="1">
        <f t="array" ref="AA147">$H147 *
IF(ISNUMBER(SEARCH("Rapid",$L147)),7/6,1) *
IF(OR(ISNUMBER(SEARCH("Beam",$L147)),ISNUMBER(SEARCH("Firestorm",$L147))),1, IF(ISNUMBER(SEARCH("Blast",$L147)),(4+$F147+(2-$F147)*0.5)/6*2,(4+$F147)/6)) *
IF(ISNUMBER(SEARCH("Fusion",$L147)), _xlfn.IFS(AA$24-$I147 &lt;=1, 9/10, AA$24-$I147 &lt;=10,(11-(AA$24-$I147))/10, AA$24-$I147 &gt;=11, 0),
_xlfn.IFS(AA$24-$I147 &lt;=1, 5/6, AA$24-$I147 &lt;=5, (7-(AA$24-$I147))/6, AND(AA$24-$I147 =6,NOT(_xlfn.IFNA(ISNUMBER(SEARCH("Rending",$L147)),FALSE))), (7-(AA$24-$I147))/6, AND(AA$24-$I147 &gt;=7,NOT(_xlfn.IFNA(ISNUMBER(SEARCH("Rending",$L147)),FALSE))), 0, AA$24-$I147 =7, (7-(AA$24-1-$I147))/6, AA$24-$I147 =8, (7-(AA$24-2-$I147))/6*2/3, AA$24-$I147 =9, (7-(AA$24-3-$I147))/6*1/3, TRUE, 0)) *
IF(ISNUMBER(SEARCH("Ordinance",$L147)),7/6,1) *
IF(OR(ISNUMBER(SEARCH("Melee",$L147)),ISNUMBER(SEARCH("Bypass",$L147))),1.5,1)</f>
        <v>0</v>
      </c>
      <c r="AB147" s="17" cm="1">
        <f t="array" ref="AB147">$H147 *
IF(ISNUMBER(SEARCH("Rapid",$L147)),7/6,1) *
IF(OR(ISNUMBER(SEARCH("Beam",$L147)),ISNUMBER(SEARCH("Firestorm",$L147))),1, IF(ISNUMBER(SEARCH("Blast",$L147)),(4+$F147+(2-$F147)*0.5)/6*2,(4+$F147)/6)) *
IF(ISNUMBER(SEARCH("Fusion",$L147)), _xlfn.IFS(AB$24-$I147 &lt;=1, 9/10, AB$24-$I147 &lt;=10,(11-(AB$24-$I147))/10, AB$24-$I147 &gt;=11, 0),
_xlfn.IFS(AB$24-$I147 &lt;=1, 5/6, AB$24-$I147 &lt;=5, (7-(AB$24-$I147))/6, AND(AB$24-$I147 =6,NOT(_xlfn.IFNA(ISNUMBER(SEARCH("Rending",$L147)),FALSE))), (7-(AB$24-$I147))/6, AND(AB$24-$I147 &gt;=7,NOT(_xlfn.IFNA(ISNUMBER(SEARCH("Rending",$L147)),FALSE))), 0, AB$24-$I147 =7, (7-(AB$24-1-$I147))/6, AB$24-$I147 =8, (7-(AB$24-2-$I147))/6*2/3, AB$24-$I147 =9, (7-(AB$24-3-$I147))/6*1/3, TRUE, 0)) *
IF(ISNUMBER(SEARCH("Ordinance",$L147)),7/6,1) *
IF(OR(ISNUMBER(SEARCH("Melee",$L147)),ISNUMBER(SEARCH("Bypass",$L147))),1.5,1)</f>
        <v>0</v>
      </c>
      <c r="AC147" s="17" cm="1">
        <f t="array" ref="AC147">$H147 *
IF(ISNUMBER(SEARCH("Rapid",$L147)),7/6,1) *
IF(OR(ISNUMBER(SEARCH("Beam",$L147)),ISNUMBER(SEARCH("Firestorm",$L147))),1, IF(ISNUMBER(SEARCH("Blast",$L147)),(4+$F147+(2-$F147)*0.5)/6*2,(4+$F147)/6)) *
IF(ISNUMBER(SEARCH("Fusion",$L147)), _xlfn.IFS(AC$24-$I147 &lt;=1, 9/10, AC$24-$I147 &lt;=10,(11-(AC$24-$I147))/10, AC$24-$I147 &gt;=11, 0),
_xlfn.IFS(AC$24-$I147 &lt;=1, 5/6, AC$24-$I147 &lt;=5, (7-(AC$24-$I147))/6, AND(AC$24-$I147 =6,NOT(_xlfn.IFNA(ISNUMBER(SEARCH("Rending",$L147)),FALSE))), (7-(AC$24-$I147))/6, AND(AC$24-$I147 &gt;=7,NOT(_xlfn.IFNA(ISNUMBER(SEARCH("Rending",$L147)),FALSE))), 0, AC$24-$I147 =7, (7-(AC$24-1-$I147))/6, AC$24-$I147 =8, (7-(AC$24-2-$I147))/6*2/3, AC$24-$I147 =9, (7-(AC$24-3-$I147))/6*1/3, TRUE, 0)) *
IF(ISNUMBER(SEARCH("Ordinance",$L147)),7/6,1) *
IF(OR(ISNUMBER(SEARCH("Melee",$L147)),ISNUMBER(SEARCH("Bypass",$L147))),1.5,1)</f>
        <v>0</v>
      </c>
      <c r="AD147" s="17" cm="1">
        <f t="array" ref="AD147">$H147 *
IF(ISNUMBER(SEARCH("Rapid",$L147)),7/6,1) *
IF(OR(ISNUMBER(SEARCH("Beam",$L147)),ISNUMBER(SEARCH("Firestorm",$L147))),1, IF(ISNUMBER(SEARCH("Blast",$L147)),(4+$F147+(2-$F147)*0.5)/6*2,(4+$F147)/6)) *
IF(ISNUMBER(SEARCH("Fusion",$L147)), _xlfn.IFS(AD$24-$I147 &lt;=1, 9/10, AD$24-$I147 &lt;=10,(11-(AD$24-$I147))/10, AD$24-$I147 &gt;=11, 0),
_xlfn.IFS(AD$24-$I147 &lt;=1, 5/6, AD$24-$I147 &lt;=5, (7-(AD$24-$I147))/6, AND(AD$24-$I147 =6,NOT(_xlfn.IFNA(ISNUMBER(SEARCH("Rending",$L147)),FALSE))), (7-(AD$24-$I147))/6, AND(AD$24-$I147 &gt;=7,NOT(_xlfn.IFNA(ISNUMBER(SEARCH("Rending",$L147)),FALSE))), 0, AD$24-$I147 =7, (7-(AD$24-1-$I147))/6, AD$24-$I147 =8, (7-(AD$24-2-$I147))/6*2/3, AD$24-$I147 =9, (7-(AD$24-3-$I147))/6*1/3, TRUE, 0)) *
IF(ISNUMBER(SEARCH("Ordinance",$L147)),7/6,1) *
IF(OR(ISNUMBER(SEARCH("Melee",$L147)),ISNUMBER(SEARCH("Bypass",$L147))),1.5,1)</f>
        <v>0</v>
      </c>
      <c r="AE147" s="17" cm="1">
        <f t="array" ref="AE147">$H147 *
IF(ISNUMBER(SEARCH("Rapid",$L147)),7/6,1) *
IF(OR(ISNUMBER(SEARCH("Beam",$L147)),ISNUMBER(SEARCH("Firestorm",$L147))),1, IF(ISNUMBER(SEARCH("Blast",$L147)),(4+$F147+(2-$F147)*0.5)/6*2,(4+$F147)/6)) *
IF(ISNUMBER(SEARCH("Fusion",$L147)), _xlfn.IFS(AE$24-$I147 &lt;=1, 9/10, AE$24-$I147 &lt;=10,(11-(AE$24-$I147))/10, AE$24-$I147 &gt;=11, 0),
_xlfn.IFS(AE$24-$I147 &lt;=1, 5/6, AE$24-$I147 &lt;=5, (7-(AE$24-$I147))/6, AND(AE$24-$I147 =6,NOT(_xlfn.IFNA(ISNUMBER(SEARCH("Rending",$L147)),FALSE))), (7-(AE$24-$I147))/6, AND(AE$24-$I147 &gt;=7,NOT(_xlfn.IFNA(ISNUMBER(SEARCH("Rending",$L147)),FALSE))), 0, AE$24-$I147 =7, (7-(AE$24-1-$I147))/6, AE$24-$I147 =8, (7-(AE$24-2-$I147))/6*2/3, AE$24-$I147 =9, (7-(AE$24-3-$I147))/6*1/3, TRUE, 0)) *
IF(ISNUMBER(SEARCH("Ordinance",$L147)),7/6,1) *
IF(OR(ISNUMBER(SEARCH("Melee",$L147)),ISNUMBER(SEARCH("Bypass",$L147))),1.5,1)</f>
        <v>0</v>
      </c>
      <c r="AF147" s="17" cm="1">
        <f t="array" ref="AF147">$H147 *
IF(ISNUMBER(SEARCH("Rapid",$L147)),7/6,1) *
IF(OR(ISNUMBER(SEARCH("Beam",$L147)),ISNUMBER(SEARCH("Firestorm",$L147))),1, IF(ISNUMBER(SEARCH("Blast",$L147)),(4+$F147+(2-$F147)*0.5)/6*2,(4+$F147)/6)) *
IF(ISNUMBER(SEARCH("Fusion",$L147)), _xlfn.IFS(AF$24-$I147 &lt;=1, 9/10, AF$24-$I147 &lt;=10,(11-(AF$24-$I147))/10, AF$24-$I147 &gt;=11, 0),
_xlfn.IFS(AF$24-$I147 &lt;=1, 5/6, AF$24-$I147 &lt;=5, (7-(AF$24-$I147))/6, AND(AF$24-$I147 =6,NOT(_xlfn.IFNA(ISNUMBER(SEARCH("Rending",$L147)),FALSE))), (7-(AF$24-$I147))/6, AND(AF$24-$I147 &gt;=7,NOT(_xlfn.IFNA(ISNUMBER(SEARCH("Rending",$L147)),FALSE))), 0, AF$24-$I147 =7, (7-(AF$24-1-$I147))/6, AF$24-$I147 =8, (7-(AF$24-2-$I147))/6*2/3, AF$24-$I147 =9, (7-(AF$24-3-$I147))/6*1/3, TRUE, 0)) *
IF(ISNUMBER(SEARCH("Ordinance",$L147)),7/6,1) *
IF(OR(ISNUMBER(SEARCH("Melee",$L147)),ISNUMBER(SEARCH("Bypass",$L147))),1.5,1)</f>
        <v>0</v>
      </c>
      <c r="AG147" s="16">
        <f t="shared" si="35"/>
        <v>2.7777777777777777</v>
      </c>
      <c r="AH147" s="16">
        <f t="shared" si="36"/>
        <v>4.166666666666667</v>
      </c>
      <c r="AI147" s="17" cm="1">
        <f t="array" ref="AI147">$H147 *
IF(ISNUMBER(SEARCH("Rapid",$L147)),7/6,1) *
IF(OR(ISNUMBER(SEARCH("Beam",$L147)),ISNUMBER(SEARCH("Firestorm",$L147))),1, IF(ISNUMBER(SEARCH("Blast",$L147)),(4+$G147+(2-$G147)*0.5)/6*2,(4+$G147)/6)) *
_xlfn.IFS(AI$24-$I147 &lt;=1, 5/6, AI$24-$I147 &lt;=5, (7-(AI$24-$I147))/6, AND(AI$24-$I147 =6,NOT(_xlfn.IFNA(ISNUMBER(SEARCH("Rending",$L147)),FALSE))), (7-(AI$24-$I147))/6, AND(AI$24-$I147 &gt;=7,NOT(_xlfn.IFNA(ISNUMBER(SEARCH("Rending",$L147)),FALSE))), 0, AI$24-$I147 =7, (7-(AI$24-1-$I147))/6, AI$24-$I147 =8, (7-(AI$24-2-$I147))/6*2/3, AI$24-$I147 =9, (7-(AI$24-3-$I147))/6*1/3, TRUE, 0) *
IF(ISNUMBER(SEARCH("Ordinance",$L147)),7/6,1) *
IF(OR(ISNUMBER(SEARCH("Melee",$L147)),ISNUMBER(SEARCH("Bypass",$L147))),1.5,1)</f>
        <v>2.7777777777777777</v>
      </c>
      <c r="AJ147" s="17" cm="1">
        <f t="array" ref="AJ147">$H147 *
IF(ISNUMBER(SEARCH("Rapid",$L147)),7/6,1) *
IF(OR(ISNUMBER(SEARCH("Beam",$L147)),ISNUMBER(SEARCH("Firestorm",$L147))),1, IF(ISNUMBER(SEARCH("Blast",$L147)),(4+$G147+(2-$G147)*0.5)/6*2,(4+$G147)/6)) *
_xlfn.IFS(AJ$24-$I147 &lt;=1, 5/6, AJ$24-$I147 &lt;=5, (7-(AJ$24-$I147))/6, AND(AJ$24-$I147 =6,NOT(_xlfn.IFNA(ISNUMBER(SEARCH("Rending",$L147)),FALSE))), (7-(AJ$24-$I147))/6, AND(AJ$24-$I147 &gt;=7,NOT(_xlfn.IFNA(ISNUMBER(SEARCH("Rending",$L147)),FALSE))), 0, AJ$24-$I147 =7, (7-(AJ$24-1-$I147))/6, AJ$24-$I147 =8, (7-(AJ$24-2-$I147))/6*2/3, AJ$24-$I147 =9, (7-(AJ$24-3-$I147))/6*1/3, TRUE, 0) *
IF(ISNUMBER(SEARCH("Ordinance",$L147)),7/6,1) *
IF(OR(ISNUMBER(SEARCH("Melee",$L147)),ISNUMBER(SEARCH("Bypass",$L147))),1.5,1)</f>
        <v>1.3888888888888888</v>
      </c>
      <c r="AK147" s="17" cm="1">
        <f t="array" ref="AK147">$H147 *
IF(ISNUMBER(SEARCH("Rapid",$L147)),7/6,1) *
IF(OR(ISNUMBER(SEARCH("Beam",$L147)),ISNUMBER(SEARCH("Firestorm",$L147))),1, IF(ISNUMBER(SEARCH("Blast",$L147)),(4+$G147+(2-$G147)*0.5)/6*2,(4+$G147)/6)) *
_xlfn.IFS(AK$24-$I147 &lt;=1, 5/6, AK$24-$I147 &lt;=5, (7-(AK$24-$I147))/6, AND(AK$24-$I147 =6,NOT(_xlfn.IFNA(ISNUMBER(SEARCH("Rending",$L147)),FALSE))), (7-(AK$24-$I147))/6, AND(AK$24-$I147 &gt;=7,NOT(_xlfn.IFNA(ISNUMBER(SEARCH("Rending",$L147)),FALSE))), 0, AK$24-$I147 =7, (7-(AK$24-1-$I147))/6, AK$24-$I147 =8, (7-(AK$24-2-$I147))/6*2/3, AK$24-$I147 =9, (7-(AK$24-3-$I147))/6*1/3, TRUE, 0) *
IF(ISNUMBER(SEARCH("Ordinance",$L147)),7/6,1) *
IF(OR(ISNUMBER(SEARCH("Melee",$L147)),ISNUMBER(SEARCH("Bypass",$L147))),1.5,1)</f>
        <v>0</v>
      </c>
      <c r="AL147" s="17" cm="1">
        <f t="array" ref="AL147">$H147 *
IF(ISNUMBER(SEARCH("Rapid",$L147)),7/6,1) *
IF(OR(ISNUMBER(SEARCH("Beam",$L147)),ISNUMBER(SEARCH("Firestorm",$L147))),1, IF(ISNUMBER(SEARCH("Blast",$L147)),(4+$G147+(2-$G147)*0.5)/6*2,(4+$G147)/6)) *
_xlfn.IFS(AL$24-$I147 &lt;=1, 5/6, AL$24-$I147 &lt;=5, (7-(AL$24-$I147))/6, AND(AL$24-$I147 =6,NOT(_xlfn.IFNA(ISNUMBER(SEARCH("Rending",$L147)),FALSE))), (7-(AL$24-$I147))/6, AND(AL$24-$I147 &gt;=7,NOT(_xlfn.IFNA(ISNUMBER(SEARCH("Rending",$L147)),FALSE))), 0, AL$24-$I147 =7, (7-(AL$24-1-$I147))/6, AL$24-$I147 =8, (7-(AL$24-2-$I147))/6*2/3, AL$24-$I147 =9, (7-(AL$24-3-$I147))/6*1/3, TRUE, 0) *
IF(ISNUMBER(SEARCH("Ordinance",$L147)),7/6,1) *
IF(OR(ISNUMBER(SEARCH("Melee",$L147)),ISNUMBER(SEARCH("Bypass",$L147))),1.5,1)</f>
        <v>0</v>
      </c>
      <c r="AM147" s="17" cm="1">
        <f t="array" ref="AM147">$H147 *
IF(ISNUMBER(SEARCH("Rapid",$L147)),7/6,1) *
IF(OR(ISNUMBER(SEARCH("Beam",$L147)),ISNUMBER(SEARCH("Firestorm",$L147))),1, IF(ISNUMBER(SEARCH("Blast",$L147)),(4+$G147+(2-$G147)*0.5)/6*2,(4+$G147)/6)) *
_xlfn.IFS(AM$24-$I147 &lt;=1, 5/6, AM$24-$I147 &lt;=5, (7-(AM$24-$I147))/6, AND(AM$24-$I147 =6,NOT(_xlfn.IFNA(ISNUMBER(SEARCH("Rending",$L147)),FALSE))), (7-(AM$24-$I147))/6, AND(AM$24-$I147 &gt;=7,NOT(_xlfn.IFNA(ISNUMBER(SEARCH("Rending",$L147)),FALSE))), 0, AM$24-$I147 =7, (7-(AM$24-1-$I147))/6, AM$24-$I147 =8, (7-(AM$24-2-$I147))/6*2/3, AM$24-$I147 =9, (7-(AM$24-3-$I147))/6*1/3, TRUE, 0) *
IF(ISNUMBER(SEARCH("Ordinance",$L147)),7/6,1) *
IF(OR(ISNUMBER(SEARCH("Melee",$L147)),ISNUMBER(SEARCH("Bypass",$L147))),1.5,1)</f>
        <v>0</v>
      </c>
      <c r="AN147" s="17" cm="1">
        <f t="array" ref="AN147">$H147 *
IF(ISNUMBER(SEARCH("Rapid",$L147)),7/6,1) *
IF(OR(ISNUMBER(SEARCH("Beam",$L147)),ISNUMBER(SEARCH("Firestorm",$L147))),1, IF(ISNUMBER(SEARCH("Blast",$L147)),(4+$G147+(2-$G147)*0.5)/6*2,(4+$G147)/6)) *
_xlfn.IFS(AN$24-$I147 &lt;=1, 5/6, AN$24-$I147 &lt;=5, (7-(AN$24-$I147))/6, AND(AN$24-$I147 =6,NOT(_xlfn.IFNA(ISNUMBER(SEARCH("Rending",$L147)),FALSE))), (7-(AN$24-$I147))/6, AND(AN$24-$I147 &gt;=7,NOT(_xlfn.IFNA(ISNUMBER(SEARCH("Rending",$L147)),FALSE))), 0, AN$24-$I147 =7, (7-(AN$24-1-$I147))/6, AN$24-$I147 =8, (7-(AN$24-2-$I147))/6*2/3, AN$24-$I147 =9, (7-(AN$24-3-$I147))/6*1/3, TRUE, 0) *
IF(ISNUMBER(SEARCH("Ordinance",$L147)),7/6,1) *
IF(OR(ISNUMBER(SEARCH("Melee",$L147)),ISNUMBER(SEARCH("Bypass",$L147))),1.5,1)</f>
        <v>0</v>
      </c>
      <c r="AO147" s="17" cm="1">
        <f t="array" ref="AO147">$H147 *
IF(ISNUMBER(SEARCH("Rapid",$L147)),7/6,1) *
IF(OR(ISNUMBER(SEARCH("Beam",$L147)),ISNUMBER(SEARCH("Firestorm",$L147))),1, IF(ISNUMBER(SEARCH("Blast",$L147)),(4+$G147+(2-$G147)*0.5)/6*2,(4+$G147)/6)) *
_xlfn.IFS(AO$24-$I147 &lt;=1, 5/6, AO$24-$I147 &lt;=5, (7-(AO$24-$I147))/6, AND(AO$24-$I147 =6,NOT(_xlfn.IFNA(ISNUMBER(SEARCH("Rending",$L147)),FALSE))), (7-(AO$24-$I147))/6, AND(AO$24-$I147 &gt;=7,NOT(_xlfn.IFNA(ISNUMBER(SEARCH("Rending",$L147)),FALSE))), 0, AO$24-$I147 =7, (7-(AO$24-1-$I147))/6, AO$24-$I147 =8, (7-(AO$24-2-$I147))/6*2/3, AO$24-$I147 =9, (7-(AO$24-3-$I147))/6*1/3, TRUE, 0) *
IF(ISNUMBER(SEARCH("Ordinance",$L147)),7/6,1) *
IF(OR(ISNUMBER(SEARCH("Melee",$L147)),ISNUMBER(SEARCH("Bypass",$L147))),1.5,1)</f>
        <v>0</v>
      </c>
      <c r="AP147" s="17" cm="1">
        <f t="array" ref="AP147">$H147 *
IF(ISNUMBER(SEARCH("Rapid",$L147)),7/6,1) *
IF(OR(ISNUMBER(SEARCH("Beam",$L147)),ISNUMBER(SEARCH("Firestorm",$L147))),1, IF(ISNUMBER(SEARCH("Blast",$L147)),(4+$G147+(2-$G147)*0.5)/6*2,(4+$G147)/6)) *
_xlfn.IFS(AP$24-$I147 &lt;=1, 5/6, AP$24-$I147 &lt;=5, (7-(AP$24-$I147))/6, AND(AP$24-$I147 =6,NOT(_xlfn.IFNA(ISNUMBER(SEARCH("Rending",$L147)),FALSE))), (7-(AP$24-$I147))/6, AND(AP$24-$I147 &gt;=7,NOT(_xlfn.IFNA(ISNUMBER(SEARCH("Rending",$L147)),FALSE))), 0, AP$24-$I147 =7, (7-(AP$24-1-$I147))/6, AP$24-$I147 =8, (7-(AP$24-2-$I147))/6*2/3, AP$24-$I147 =9, (7-(AP$24-3-$I147))/6*1/3, TRUE, 0) *
IF(ISNUMBER(SEARCH("Ordinance",$L147)),7/6,1) *
IF(OR(ISNUMBER(SEARCH("Melee",$L147)),ISNUMBER(SEARCH("Bypass",$L147))),1.5,1)</f>
        <v>0</v>
      </c>
      <c r="AQ147" s="17" cm="1">
        <f t="array" ref="AQ147">$H147 *
IF(ISNUMBER(SEARCH("Rapid",$L147)),7/6,1) *
IF(OR(ISNUMBER(SEARCH("Beam",$L147)),ISNUMBER(SEARCH("Firestorm",$L147))),1, IF(ISNUMBER(SEARCH("Blast",$L147)),(4+$G147+(2-$G147)*0.5)/6*2,(4+$G147)/6)) *
_xlfn.IFS(AQ$24-$I147 &lt;=1, 5/6, AQ$24-$I147 &lt;=5, (7-(AQ$24-$I147))/6, AND(AQ$24-$I147 =6,NOT(_xlfn.IFNA(ISNUMBER(SEARCH("Rending",$L147)),FALSE))), (7-(AQ$24-$I147))/6, AND(AQ$24-$I147 &gt;=7,NOT(_xlfn.IFNA(ISNUMBER(SEARCH("Rending",$L147)),FALSE))), 0, AQ$24-$I147 =7, (7-(AQ$24-1-$I147))/6, AQ$24-$I147 =8, (7-(AQ$24-2-$I147))/6*2/3, AQ$24-$I147 =9, (7-(AQ$24-3-$I147))/6*1/3, TRUE, 0) *
IF(ISNUMBER(SEARCH("Ordinance",$L147)),7/6,1) *
IF(OR(ISNUMBER(SEARCH("Melee",$L147)),ISNUMBER(SEARCH("Bypass",$L147))),1.5,1)</f>
        <v>0</v>
      </c>
      <c r="AS147" s="16">
        <f t="shared" si="38"/>
        <v>1.8518518518518519</v>
      </c>
      <c r="AT147" s="16">
        <f t="shared" si="39"/>
        <v>2.7777777777777781</v>
      </c>
      <c r="AU147" s="16">
        <f t="shared" si="40"/>
        <v>2.1851851851851851</v>
      </c>
      <c r="AV147" s="2">
        <v>12</v>
      </c>
    </row>
    <row r="148" spans="1:48" x14ac:dyDescent="0.3">
      <c r="A148" t="s">
        <v>241</v>
      </c>
      <c r="B148" s="3">
        <v>8</v>
      </c>
      <c r="C148" s="3">
        <v>32</v>
      </c>
      <c r="D148" s="3">
        <v>0</v>
      </c>
      <c r="E148" s="3">
        <v>3</v>
      </c>
      <c r="F148" s="10"/>
      <c r="G148" s="10"/>
      <c r="H148" s="3">
        <v>4</v>
      </c>
      <c r="I148" s="3">
        <v>8</v>
      </c>
      <c r="J148" s="3" t="s">
        <v>580</v>
      </c>
      <c r="K148" s="3">
        <v>60</v>
      </c>
      <c r="L148" s="3" t="s">
        <v>581</v>
      </c>
      <c r="M148" s="3" t="s">
        <v>199</v>
      </c>
      <c r="N148" s="3">
        <v>11</v>
      </c>
      <c r="O148" s="3">
        <v>11</v>
      </c>
      <c r="P148" s="3">
        <v>14</v>
      </c>
      <c r="Q148" s="3" t="s">
        <v>200</v>
      </c>
      <c r="R148" s="3">
        <v>7</v>
      </c>
      <c r="S148" s="3">
        <v>9</v>
      </c>
      <c r="T148" s="3">
        <v>4</v>
      </c>
      <c r="V148" s="16">
        <f t="shared" si="33"/>
        <v>1.3333333333333333</v>
      </c>
      <c r="W148" s="16">
        <f t="shared" si="34"/>
        <v>1.7777777777777777</v>
      </c>
      <c r="X148" s="17" cm="1">
        <f t="array" ref="X148">$H148 *
IF(ISNUMBER(SEARCH("Rapid",$L148)),7/6,1) *
IF(OR(ISNUMBER(SEARCH("Beam",$L148)),ISNUMBER(SEARCH("Firestorm",$L148))),1, IF(ISNUMBER(SEARCH("Blast",$L148)),(4+$F148+(2-$F148)*0.5)/6*2,(4+$F148)/6)) *
IF(ISNUMBER(SEARCH("Fusion",$L148)), _xlfn.IFS(X$24-$I148 &lt;=1, 9/10, X$24-$I148 &lt;=10,(11-(X$24-$I148))/10, X$24-$I148 &gt;=11, 0),
_xlfn.IFS(X$24-$I148 &lt;=1, 5/6, X$24-$I148 &lt;=5, (7-(X$24-$I148))/6, AND(X$24-$I148 =6,NOT(_xlfn.IFNA(ISNUMBER(SEARCH("Rending",$L148)),FALSE))), (7-(X$24-$I148))/6, AND(X$24-$I148 &gt;=7,NOT(_xlfn.IFNA(ISNUMBER(SEARCH("Rending",$L148)),FALSE))), 0, X$24-$I148 =7, (7-(X$24-1-$I148))/6, X$24-$I148 =8, (7-(X$24-2-$I148))/6*2/3, X$24-$I148 =9, (7-(X$24-3-$I148))/6*1/3, TRUE, 0)) *
IF(ISNUMBER(SEARCH("Ordinance",$L148)),7/6,1) *
IF(OR(ISNUMBER(SEARCH("Melee",$L148)),ISNUMBER(SEARCH("Bypass",$L148))),1.5,1)</f>
        <v>2.2222222222222223</v>
      </c>
      <c r="Y148" s="17" cm="1">
        <f t="array" ref="Y148">$H148 *
IF(ISNUMBER(SEARCH("Rapid",$L148)),7/6,1) *
IF(OR(ISNUMBER(SEARCH("Beam",$L148)),ISNUMBER(SEARCH("Firestorm",$L148))),1, IF(ISNUMBER(SEARCH("Blast",$L148)),(4+$F148+(2-$F148)*0.5)/6*2,(4+$F148)/6)) *
IF(ISNUMBER(SEARCH("Fusion",$L148)), _xlfn.IFS(Y$24-$I148 &lt;=1, 9/10, Y$24-$I148 &lt;=10,(11-(Y$24-$I148))/10, Y$24-$I148 &gt;=11, 0),
_xlfn.IFS(Y$24-$I148 &lt;=1, 5/6, Y$24-$I148 &lt;=5, (7-(Y$24-$I148))/6, AND(Y$24-$I148 =6,NOT(_xlfn.IFNA(ISNUMBER(SEARCH("Rending",$L148)),FALSE))), (7-(Y$24-$I148))/6, AND(Y$24-$I148 &gt;=7,NOT(_xlfn.IFNA(ISNUMBER(SEARCH("Rending",$L148)),FALSE))), 0, Y$24-$I148 =7, (7-(Y$24-1-$I148))/6, Y$24-$I148 =8, (7-(Y$24-2-$I148))/6*2/3, Y$24-$I148 =9, (7-(Y$24-3-$I148))/6*1/3, TRUE, 0)) *
IF(ISNUMBER(SEARCH("Ordinance",$L148)),7/6,1) *
IF(OR(ISNUMBER(SEARCH("Melee",$L148)),ISNUMBER(SEARCH("Bypass",$L148))),1.5,1)</f>
        <v>2.2222222222222223</v>
      </c>
      <c r="Z148" s="17" cm="1">
        <f t="array" ref="Z148">$H148 *
IF(ISNUMBER(SEARCH("Rapid",$L148)),7/6,1) *
IF(OR(ISNUMBER(SEARCH("Beam",$L148)),ISNUMBER(SEARCH("Firestorm",$L148))),1, IF(ISNUMBER(SEARCH("Blast",$L148)),(4+$F148+(2-$F148)*0.5)/6*2,(4+$F148)/6)) *
IF(ISNUMBER(SEARCH("Fusion",$L148)), _xlfn.IFS(Z$24-$I148 &lt;=1, 9/10, Z$24-$I148 &lt;=10,(11-(Z$24-$I148))/10, Z$24-$I148 &gt;=11, 0),
_xlfn.IFS(Z$24-$I148 &lt;=1, 5/6, Z$24-$I148 &lt;=5, (7-(Z$24-$I148))/6, AND(Z$24-$I148 =6,NOT(_xlfn.IFNA(ISNUMBER(SEARCH("Rending",$L148)),FALSE))), (7-(Z$24-$I148))/6, AND(Z$24-$I148 &gt;=7,NOT(_xlfn.IFNA(ISNUMBER(SEARCH("Rending",$L148)),FALSE))), 0, Z$24-$I148 =7, (7-(Z$24-1-$I148))/6, Z$24-$I148 =8, (7-(Z$24-2-$I148))/6*2/3, Z$24-$I148 =9, (7-(Z$24-3-$I148))/6*1/3, TRUE, 0)) *
IF(ISNUMBER(SEARCH("Ordinance",$L148)),7/6,1) *
IF(OR(ISNUMBER(SEARCH("Melee",$L148)),ISNUMBER(SEARCH("Bypass",$L148))),1.5,1)</f>
        <v>1.7777777777777777</v>
      </c>
      <c r="AA148" s="17" cm="1">
        <f t="array" ref="AA148">$H148 *
IF(ISNUMBER(SEARCH("Rapid",$L148)),7/6,1) *
IF(OR(ISNUMBER(SEARCH("Beam",$L148)),ISNUMBER(SEARCH("Firestorm",$L148))),1, IF(ISNUMBER(SEARCH("Blast",$L148)),(4+$F148+(2-$F148)*0.5)/6*2,(4+$F148)/6)) *
IF(ISNUMBER(SEARCH("Fusion",$L148)), _xlfn.IFS(AA$24-$I148 &lt;=1, 9/10, AA$24-$I148 &lt;=10,(11-(AA$24-$I148))/10, AA$24-$I148 &gt;=11, 0),
_xlfn.IFS(AA$24-$I148 &lt;=1, 5/6, AA$24-$I148 &lt;=5, (7-(AA$24-$I148))/6, AND(AA$24-$I148 =6,NOT(_xlfn.IFNA(ISNUMBER(SEARCH("Rending",$L148)),FALSE))), (7-(AA$24-$I148))/6, AND(AA$24-$I148 &gt;=7,NOT(_xlfn.IFNA(ISNUMBER(SEARCH("Rending",$L148)),FALSE))), 0, AA$24-$I148 =7, (7-(AA$24-1-$I148))/6, AA$24-$I148 =8, (7-(AA$24-2-$I148))/6*2/3, AA$24-$I148 =9, (7-(AA$24-3-$I148))/6*1/3, TRUE, 0)) *
IF(ISNUMBER(SEARCH("Ordinance",$L148)),7/6,1) *
IF(OR(ISNUMBER(SEARCH("Melee",$L148)),ISNUMBER(SEARCH("Bypass",$L148))),1.5,1)</f>
        <v>1.3333333333333333</v>
      </c>
      <c r="AB148" s="17" cm="1">
        <f t="array" ref="AB148">$H148 *
IF(ISNUMBER(SEARCH("Rapid",$L148)),7/6,1) *
IF(OR(ISNUMBER(SEARCH("Beam",$L148)),ISNUMBER(SEARCH("Firestorm",$L148))),1, IF(ISNUMBER(SEARCH("Blast",$L148)),(4+$F148+(2-$F148)*0.5)/6*2,(4+$F148)/6)) *
IF(ISNUMBER(SEARCH("Fusion",$L148)), _xlfn.IFS(AB$24-$I148 &lt;=1, 9/10, AB$24-$I148 &lt;=10,(11-(AB$24-$I148))/10, AB$24-$I148 &gt;=11, 0),
_xlfn.IFS(AB$24-$I148 &lt;=1, 5/6, AB$24-$I148 &lt;=5, (7-(AB$24-$I148))/6, AND(AB$24-$I148 =6,NOT(_xlfn.IFNA(ISNUMBER(SEARCH("Rending",$L148)),FALSE))), (7-(AB$24-$I148))/6, AND(AB$24-$I148 &gt;=7,NOT(_xlfn.IFNA(ISNUMBER(SEARCH("Rending",$L148)),FALSE))), 0, AB$24-$I148 =7, (7-(AB$24-1-$I148))/6, AB$24-$I148 =8, (7-(AB$24-2-$I148))/6*2/3, AB$24-$I148 =9, (7-(AB$24-3-$I148))/6*1/3, TRUE, 0)) *
IF(ISNUMBER(SEARCH("Ordinance",$L148)),7/6,1) *
IF(OR(ISNUMBER(SEARCH("Melee",$L148)),ISNUMBER(SEARCH("Bypass",$L148))),1.5,1)</f>
        <v>0.88888888888888884</v>
      </c>
      <c r="AC148" s="17" cm="1">
        <f t="array" ref="AC148">$H148 *
IF(ISNUMBER(SEARCH("Rapid",$L148)),7/6,1) *
IF(OR(ISNUMBER(SEARCH("Beam",$L148)),ISNUMBER(SEARCH("Firestorm",$L148))),1, IF(ISNUMBER(SEARCH("Blast",$L148)),(4+$F148+(2-$F148)*0.5)/6*2,(4+$F148)/6)) *
IF(ISNUMBER(SEARCH("Fusion",$L148)), _xlfn.IFS(AC$24-$I148 &lt;=1, 9/10, AC$24-$I148 &lt;=10,(11-(AC$24-$I148))/10, AC$24-$I148 &gt;=11, 0),
_xlfn.IFS(AC$24-$I148 &lt;=1, 5/6, AC$24-$I148 &lt;=5, (7-(AC$24-$I148))/6, AND(AC$24-$I148 =6,NOT(_xlfn.IFNA(ISNUMBER(SEARCH("Rending",$L148)),FALSE))), (7-(AC$24-$I148))/6, AND(AC$24-$I148 &gt;=7,NOT(_xlfn.IFNA(ISNUMBER(SEARCH("Rending",$L148)),FALSE))), 0, AC$24-$I148 =7, (7-(AC$24-1-$I148))/6, AC$24-$I148 =8, (7-(AC$24-2-$I148))/6*2/3, AC$24-$I148 =9, (7-(AC$24-3-$I148))/6*1/3, TRUE, 0)) *
IF(ISNUMBER(SEARCH("Ordinance",$L148)),7/6,1) *
IF(OR(ISNUMBER(SEARCH("Melee",$L148)),ISNUMBER(SEARCH("Bypass",$L148))),1.5,1)</f>
        <v>0.44444444444444442</v>
      </c>
      <c r="AD148" s="17" cm="1">
        <f t="array" ref="AD148">$H148 *
IF(ISNUMBER(SEARCH("Rapid",$L148)),7/6,1) *
IF(OR(ISNUMBER(SEARCH("Beam",$L148)),ISNUMBER(SEARCH("Firestorm",$L148))),1, IF(ISNUMBER(SEARCH("Blast",$L148)),(4+$F148+(2-$F148)*0.5)/6*2,(4+$F148)/6)) *
IF(ISNUMBER(SEARCH("Fusion",$L148)), _xlfn.IFS(AD$24-$I148 &lt;=1, 9/10, AD$24-$I148 &lt;=10,(11-(AD$24-$I148))/10, AD$24-$I148 &gt;=11, 0),
_xlfn.IFS(AD$24-$I148 &lt;=1, 5/6, AD$24-$I148 &lt;=5, (7-(AD$24-$I148))/6, AND(AD$24-$I148 =6,NOT(_xlfn.IFNA(ISNUMBER(SEARCH("Rending",$L148)),FALSE))), (7-(AD$24-$I148))/6, AND(AD$24-$I148 &gt;=7,NOT(_xlfn.IFNA(ISNUMBER(SEARCH("Rending",$L148)),FALSE))), 0, AD$24-$I148 =7, (7-(AD$24-1-$I148))/6, AD$24-$I148 =8, (7-(AD$24-2-$I148))/6*2/3, AD$24-$I148 =9, (7-(AD$24-3-$I148))/6*1/3, TRUE, 0)) *
IF(ISNUMBER(SEARCH("Ordinance",$L148)),7/6,1) *
IF(OR(ISNUMBER(SEARCH("Melee",$L148)),ISNUMBER(SEARCH("Bypass",$L148))),1.5,1)</f>
        <v>0</v>
      </c>
      <c r="AE148" s="17" cm="1">
        <f t="array" ref="AE148">$H148 *
IF(ISNUMBER(SEARCH("Rapid",$L148)),7/6,1) *
IF(OR(ISNUMBER(SEARCH("Beam",$L148)),ISNUMBER(SEARCH("Firestorm",$L148))),1, IF(ISNUMBER(SEARCH("Blast",$L148)),(4+$F148+(2-$F148)*0.5)/6*2,(4+$F148)/6)) *
IF(ISNUMBER(SEARCH("Fusion",$L148)), _xlfn.IFS(AE$24-$I148 &lt;=1, 9/10, AE$24-$I148 &lt;=10,(11-(AE$24-$I148))/10, AE$24-$I148 &gt;=11, 0),
_xlfn.IFS(AE$24-$I148 &lt;=1, 5/6, AE$24-$I148 &lt;=5, (7-(AE$24-$I148))/6, AND(AE$24-$I148 =6,NOT(_xlfn.IFNA(ISNUMBER(SEARCH("Rending",$L148)),FALSE))), (7-(AE$24-$I148))/6, AND(AE$24-$I148 &gt;=7,NOT(_xlfn.IFNA(ISNUMBER(SEARCH("Rending",$L148)),FALSE))), 0, AE$24-$I148 =7, (7-(AE$24-1-$I148))/6, AE$24-$I148 =8, (7-(AE$24-2-$I148))/6*2/3, AE$24-$I148 =9, (7-(AE$24-3-$I148))/6*1/3, TRUE, 0)) *
IF(ISNUMBER(SEARCH("Ordinance",$L148)),7/6,1) *
IF(OR(ISNUMBER(SEARCH("Melee",$L148)),ISNUMBER(SEARCH("Bypass",$L148))),1.5,1)</f>
        <v>0</v>
      </c>
      <c r="AF148" s="17" cm="1">
        <f t="array" ref="AF148">$H148 *
IF(ISNUMBER(SEARCH("Rapid",$L148)),7/6,1) *
IF(OR(ISNUMBER(SEARCH("Beam",$L148)),ISNUMBER(SEARCH("Firestorm",$L148))),1, IF(ISNUMBER(SEARCH("Blast",$L148)),(4+$F148+(2-$F148)*0.5)/6*2,(4+$F148)/6)) *
IF(ISNUMBER(SEARCH("Fusion",$L148)), _xlfn.IFS(AF$24-$I148 &lt;=1, 9/10, AF$24-$I148 &lt;=10,(11-(AF$24-$I148))/10, AF$24-$I148 &gt;=11, 0),
_xlfn.IFS(AF$24-$I148 &lt;=1, 5/6, AF$24-$I148 &lt;=5, (7-(AF$24-$I148))/6, AND(AF$24-$I148 =6,NOT(_xlfn.IFNA(ISNUMBER(SEARCH("Rending",$L148)),FALSE))), (7-(AF$24-$I148))/6, AND(AF$24-$I148 &gt;=7,NOT(_xlfn.IFNA(ISNUMBER(SEARCH("Rending",$L148)),FALSE))), 0, AF$24-$I148 =7, (7-(AF$24-1-$I148))/6, AF$24-$I148 =8, (7-(AF$24-2-$I148))/6*2/3, AF$24-$I148 =9, (7-(AF$24-3-$I148))/6*1/3, TRUE, 0)) *
IF(ISNUMBER(SEARCH("Ordinance",$L148)),7/6,1) *
IF(OR(ISNUMBER(SEARCH("Melee",$L148)),ISNUMBER(SEARCH("Bypass",$L148))),1.5,1)</f>
        <v>0</v>
      </c>
      <c r="AG148" s="16">
        <f t="shared" si="35"/>
        <v>1.3333333333333333</v>
      </c>
      <c r="AH148" s="16">
        <f t="shared" si="36"/>
        <v>1.7777777777777777</v>
      </c>
      <c r="AI148" s="17" cm="1">
        <f t="array" ref="AI148">$H148 *
IF(ISNUMBER(SEARCH("Rapid",$L148)),7/6,1) *
IF(OR(ISNUMBER(SEARCH("Beam",$L148)),ISNUMBER(SEARCH("Firestorm",$L148))),1, IF(ISNUMBER(SEARCH("Blast",$L148)),(4+$G148+(2-$G148)*0.5)/6*2,(4+$G148)/6)) *
_xlfn.IFS(AI$24-$I148 &lt;=1, 5/6, AI$24-$I148 &lt;=5, (7-(AI$24-$I148))/6, AND(AI$24-$I148 =6,NOT(_xlfn.IFNA(ISNUMBER(SEARCH("Rending",$L148)),FALSE))), (7-(AI$24-$I148))/6, AND(AI$24-$I148 &gt;=7,NOT(_xlfn.IFNA(ISNUMBER(SEARCH("Rending",$L148)),FALSE))), 0, AI$24-$I148 =7, (7-(AI$24-1-$I148))/6, AI$24-$I148 =8, (7-(AI$24-2-$I148))/6*2/3, AI$24-$I148 =9, (7-(AI$24-3-$I148))/6*1/3, TRUE, 0) *
IF(ISNUMBER(SEARCH("Ordinance",$L148)),7/6,1) *
IF(OR(ISNUMBER(SEARCH("Melee",$L148)),ISNUMBER(SEARCH("Bypass",$L148))),1.5,1)</f>
        <v>2.2222222222222223</v>
      </c>
      <c r="AJ148" s="17" cm="1">
        <f t="array" ref="AJ148">$H148 *
IF(ISNUMBER(SEARCH("Rapid",$L148)),7/6,1) *
IF(OR(ISNUMBER(SEARCH("Beam",$L148)),ISNUMBER(SEARCH("Firestorm",$L148))),1, IF(ISNUMBER(SEARCH("Blast",$L148)),(4+$G148+(2-$G148)*0.5)/6*2,(4+$G148)/6)) *
_xlfn.IFS(AJ$24-$I148 &lt;=1, 5/6, AJ$24-$I148 &lt;=5, (7-(AJ$24-$I148))/6, AND(AJ$24-$I148 =6,NOT(_xlfn.IFNA(ISNUMBER(SEARCH("Rending",$L148)),FALSE))), (7-(AJ$24-$I148))/6, AND(AJ$24-$I148 &gt;=7,NOT(_xlfn.IFNA(ISNUMBER(SEARCH("Rending",$L148)),FALSE))), 0, AJ$24-$I148 =7, (7-(AJ$24-1-$I148))/6, AJ$24-$I148 =8, (7-(AJ$24-2-$I148))/6*2/3, AJ$24-$I148 =9, (7-(AJ$24-3-$I148))/6*1/3, TRUE, 0) *
IF(ISNUMBER(SEARCH("Ordinance",$L148)),7/6,1) *
IF(OR(ISNUMBER(SEARCH("Melee",$L148)),ISNUMBER(SEARCH("Bypass",$L148))),1.5,1)</f>
        <v>2.2222222222222223</v>
      </c>
      <c r="AK148" s="17" cm="1">
        <f t="array" ref="AK148">$H148 *
IF(ISNUMBER(SEARCH("Rapid",$L148)),7/6,1) *
IF(OR(ISNUMBER(SEARCH("Beam",$L148)),ISNUMBER(SEARCH("Firestorm",$L148))),1, IF(ISNUMBER(SEARCH("Blast",$L148)),(4+$G148+(2-$G148)*0.5)/6*2,(4+$G148)/6)) *
_xlfn.IFS(AK$24-$I148 &lt;=1, 5/6, AK$24-$I148 &lt;=5, (7-(AK$24-$I148))/6, AND(AK$24-$I148 =6,NOT(_xlfn.IFNA(ISNUMBER(SEARCH("Rending",$L148)),FALSE))), (7-(AK$24-$I148))/6, AND(AK$24-$I148 &gt;=7,NOT(_xlfn.IFNA(ISNUMBER(SEARCH("Rending",$L148)),FALSE))), 0, AK$24-$I148 =7, (7-(AK$24-1-$I148))/6, AK$24-$I148 =8, (7-(AK$24-2-$I148))/6*2/3, AK$24-$I148 =9, (7-(AK$24-3-$I148))/6*1/3, TRUE, 0) *
IF(ISNUMBER(SEARCH("Ordinance",$L148)),7/6,1) *
IF(OR(ISNUMBER(SEARCH("Melee",$L148)),ISNUMBER(SEARCH("Bypass",$L148))),1.5,1)</f>
        <v>1.7777777777777777</v>
      </c>
      <c r="AL148" s="17" cm="1">
        <f t="array" ref="AL148">$H148 *
IF(ISNUMBER(SEARCH("Rapid",$L148)),7/6,1) *
IF(OR(ISNUMBER(SEARCH("Beam",$L148)),ISNUMBER(SEARCH("Firestorm",$L148))),1, IF(ISNUMBER(SEARCH("Blast",$L148)),(4+$G148+(2-$G148)*0.5)/6*2,(4+$G148)/6)) *
_xlfn.IFS(AL$24-$I148 &lt;=1, 5/6, AL$24-$I148 &lt;=5, (7-(AL$24-$I148))/6, AND(AL$24-$I148 =6,NOT(_xlfn.IFNA(ISNUMBER(SEARCH("Rending",$L148)),FALSE))), (7-(AL$24-$I148))/6, AND(AL$24-$I148 &gt;=7,NOT(_xlfn.IFNA(ISNUMBER(SEARCH("Rending",$L148)),FALSE))), 0, AL$24-$I148 =7, (7-(AL$24-1-$I148))/6, AL$24-$I148 =8, (7-(AL$24-2-$I148))/6*2/3, AL$24-$I148 =9, (7-(AL$24-3-$I148))/6*1/3, TRUE, 0) *
IF(ISNUMBER(SEARCH("Ordinance",$L148)),7/6,1) *
IF(OR(ISNUMBER(SEARCH("Melee",$L148)),ISNUMBER(SEARCH("Bypass",$L148))),1.5,1)</f>
        <v>1.3333333333333333</v>
      </c>
      <c r="AM148" s="17" cm="1">
        <f t="array" ref="AM148">$H148 *
IF(ISNUMBER(SEARCH("Rapid",$L148)),7/6,1) *
IF(OR(ISNUMBER(SEARCH("Beam",$L148)),ISNUMBER(SEARCH("Firestorm",$L148))),1, IF(ISNUMBER(SEARCH("Blast",$L148)),(4+$G148+(2-$G148)*0.5)/6*2,(4+$G148)/6)) *
_xlfn.IFS(AM$24-$I148 &lt;=1, 5/6, AM$24-$I148 &lt;=5, (7-(AM$24-$I148))/6, AND(AM$24-$I148 =6,NOT(_xlfn.IFNA(ISNUMBER(SEARCH("Rending",$L148)),FALSE))), (7-(AM$24-$I148))/6, AND(AM$24-$I148 &gt;=7,NOT(_xlfn.IFNA(ISNUMBER(SEARCH("Rending",$L148)),FALSE))), 0, AM$24-$I148 =7, (7-(AM$24-1-$I148))/6, AM$24-$I148 =8, (7-(AM$24-2-$I148))/6*2/3, AM$24-$I148 =9, (7-(AM$24-3-$I148))/6*1/3, TRUE, 0) *
IF(ISNUMBER(SEARCH("Ordinance",$L148)),7/6,1) *
IF(OR(ISNUMBER(SEARCH("Melee",$L148)),ISNUMBER(SEARCH("Bypass",$L148))),1.5,1)</f>
        <v>0.88888888888888884</v>
      </c>
      <c r="AN148" s="17" cm="1">
        <f t="array" ref="AN148">$H148 *
IF(ISNUMBER(SEARCH("Rapid",$L148)),7/6,1) *
IF(OR(ISNUMBER(SEARCH("Beam",$L148)),ISNUMBER(SEARCH("Firestorm",$L148))),1, IF(ISNUMBER(SEARCH("Blast",$L148)),(4+$G148+(2-$G148)*0.5)/6*2,(4+$G148)/6)) *
_xlfn.IFS(AN$24-$I148 &lt;=1, 5/6, AN$24-$I148 &lt;=5, (7-(AN$24-$I148))/6, AND(AN$24-$I148 =6,NOT(_xlfn.IFNA(ISNUMBER(SEARCH("Rending",$L148)),FALSE))), (7-(AN$24-$I148))/6, AND(AN$24-$I148 &gt;=7,NOT(_xlfn.IFNA(ISNUMBER(SEARCH("Rending",$L148)),FALSE))), 0, AN$24-$I148 =7, (7-(AN$24-1-$I148))/6, AN$24-$I148 =8, (7-(AN$24-2-$I148))/6*2/3, AN$24-$I148 =9, (7-(AN$24-3-$I148))/6*1/3, TRUE, 0) *
IF(ISNUMBER(SEARCH("Ordinance",$L148)),7/6,1) *
IF(OR(ISNUMBER(SEARCH("Melee",$L148)),ISNUMBER(SEARCH("Bypass",$L148))),1.5,1)</f>
        <v>0.44444444444444442</v>
      </c>
      <c r="AO148" s="17" cm="1">
        <f t="array" ref="AO148">$H148 *
IF(ISNUMBER(SEARCH("Rapid",$L148)),7/6,1) *
IF(OR(ISNUMBER(SEARCH("Beam",$L148)),ISNUMBER(SEARCH("Firestorm",$L148))),1, IF(ISNUMBER(SEARCH("Blast",$L148)),(4+$G148+(2-$G148)*0.5)/6*2,(4+$G148)/6)) *
_xlfn.IFS(AO$24-$I148 &lt;=1, 5/6, AO$24-$I148 &lt;=5, (7-(AO$24-$I148))/6, AND(AO$24-$I148 =6,NOT(_xlfn.IFNA(ISNUMBER(SEARCH("Rending",$L148)),FALSE))), (7-(AO$24-$I148))/6, AND(AO$24-$I148 &gt;=7,NOT(_xlfn.IFNA(ISNUMBER(SEARCH("Rending",$L148)),FALSE))), 0, AO$24-$I148 =7, (7-(AO$24-1-$I148))/6, AO$24-$I148 =8, (7-(AO$24-2-$I148))/6*2/3, AO$24-$I148 =9, (7-(AO$24-3-$I148))/6*1/3, TRUE, 0) *
IF(ISNUMBER(SEARCH("Ordinance",$L148)),7/6,1) *
IF(OR(ISNUMBER(SEARCH("Melee",$L148)),ISNUMBER(SEARCH("Bypass",$L148))),1.5,1)</f>
        <v>0</v>
      </c>
      <c r="AP148" s="17" cm="1">
        <f t="array" ref="AP148">$H148 *
IF(ISNUMBER(SEARCH("Rapid",$L148)),7/6,1) *
IF(OR(ISNUMBER(SEARCH("Beam",$L148)),ISNUMBER(SEARCH("Firestorm",$L148))),1, IF(ISNUMBER(SEARCH("Blast",$L148)),(4+$G148+(2-$G148)*0.5)/6*2,(4+$G148)/6)) *
_xlfn.IFS(AP$24-$I148 &lt;=1, 5/6, AP$24-$I148 &lt;=5, (7-(AP$24-$I148))/6, AND(AP$24-$I148 =6,NOT(_xlfn.IFNA(ISNUMBER(SEARCH("Rending",$L148)),FALSE))), (7-(AP$24-$I148))/6, AND(AP$24-$I148 &gt;=7,NOT(_xlfn.IFNA(ISNUMBER(SEARCH("Rending",$L148)),FALSE))), 0, AP$24-$I148 =7, (7-(AP$24-1-$I148))/6, AP$24-$I148 =8, (7-(AP$24-2-$I148))/6*2/3, AP$24-$I148 =9, (7-(AP$24-3-$I148))/6*1/3, TRUE, 0) *
IF(ISNUMBER(SEARCH("Ordinance",$L148)),7/6,1) *
IF(OR(ISNUMBER(SEARCH("Melee",$L148)),ISNUMBER(SEARCH("Bypass",$L148))),1.5,1)</f>
        <v>0</v>
      </c>
      <c r="AQ148" s="17" cm="1">
        <f t="array" ref="AQ148">$H148 *
IF(ISNUMBER(SEARCH("Rapid",$L148)),7/6,1) *
IF(OR(ISNUMBER(SEARCH("Beam",$L148)),ISNUMBER(SEARCH("Firestorm",$L148))),1, IF(ISNUMBER(SEARCH("Blast",$L148)),(4+$G148+(2-$G148)*0.5)/6*2,(4+$G148)/6)) *
_xlfn.IFS(AQ$24-$I148 &lt;=1, 5/6, AQ$24-$I148 &lt;=5, (7-(AQ$24-$I148))/6, AND(AQ$24-$I148 =6,NOT(_xlfn.IFNA(ISNUMBER(SEARCH("Rending",$L148)),FALSE))), (7-(AQ$24-$I148))/6, AND(AQ$24-$I148 &gt;=7,NOT(_xlfn.IFNA(ISNUMBER(SEARCH("Rending",$L148)),FALSE))), 0, AQ$24-$I148 =7, (7-(AQ$24-1-$I148))/6, AQ$24-$I148 =8, (7-(AQ$24-2-$I148))/6*2/3, AQ$24-$I148 =9, (7-(AQ$24-3-$I148))/6*1/3, TRUE, 0) *
IF(ISNUMBER(SEARCH("Ordinance",$L148)),7/6,1) *
IF(OR(ISNUMBER(SEARCH("Melee",$L148)),ISNUMBER(SEARCH("Bypass",$L148))),1.5,1)</f>
        <v>0</v>
      </c>
      <c r="AS148" s="16">
        <f t="shared" si="38"/>
        <v>0.48888888888888893</v>
      </c>
      <c r="AT148" s="16">
        <f t="shared" si="39"/>
        <v>0.6518518518518519</v>
      </c>
      <c r="AU148" s="16">
        <f t="shared" si="40"/>
        <v>1.8518518518518519</v>
      </c>
      <c r="AV148" s="2">
        <v>12</v>
      </c>
    </row>
    <row r="149" spans="1:48" x14ac:dyDescent="0.3">
      <c r="A149" t="s">
        <v>582</v>
      </c>
      <c r="B149" s="3">
        <v>30</v>
      </c>
      <c r="C149" s="3">
        <v>60</v>
      </c>
      <c r="D149" s="3">
        <v>1</v>
      </c>
      <c r="E149" s="3">
        <v>2</v>
      </c>
      <c r="F149" s="10"/>
      <c r="G149" s="10">
        <v>1</v>
      </c>
      <c r="H149" s="3">
        <v>1</v>
      </c>
      <c r="I149" s="3">
        <v>10</v>
      </c>
      <c r="J149" s="3" t="s">
        <v>583</v>
      </c>
      <c r="K149" s="3">
        <v>25</v>
      </c>
      <c r="L149" s="3" t="s">
        <v>584</v>
      </c>
      <c r="M149" s="3" t="s">
        <v>199</v>
      </c>
      <c r="N149" s="3">
        <v>11</v>
      </c>
      <c r="O149" s="3">
        <v>11</v>
      </c>
      <c r="P149" s="3">
        <v>15</v>
      </c>
      <c r="Q149" s="3" t="s">
        <v>200</v>
      </c>
      <c r="R149" s="3">
        <v>7</v>
      </c>
      <c r="S149" s="3">
        <v>9</v>
      </c>
      <c r="T149" s="3">
        <v>5</v>
      </c>
      <c r="V149" s="16">
        <f t="shared" si="33"/>
        <v>0.55555555555555558</v>
      </c>
      <c r="W149" s="16">
        <f t="shared" si="34"/>
        <v>0.83333333333333337</v>
      </c>
      <c r="X149" s="17" cm="1">
        <f t="array" ref="X149">$H149 *
IF(ISNUMBER(SEARCH("Rapid",$L149)),7/6,1) *
IF(OR(ISNUMBER(SEARCH("Beam",$L149)),ISNUMBER(SEARCH("Firestorm",$L149))),1, IF(ISNUMBER(SEARCH("Blast",$L149)),(4+$F149+(2-$F149)*0.5)/6*2,(4+$F149)/6)) *
IF(ISNUMBER(SEARCH("Fusion",$L149)), _xlfn.IFS(X$24-$I149 &lt;=1, 9/10, X$24-$I149 &lt;=10,(11-(X$24-$I149))/10, X$24-$I149 &gt;=11, 0),
_xlfn.IFS(X$24-$I149 &lt;=1, 5/6, X$24-$I149 &lt;=5, (7-(X$24-$I149))/6, AND(X$24-$I149 =6,NOT(_xlfn.IFNA(ISNUMBER(SEARCH("Rending",$L149)),FALSE))), (7-(X$24-$I149))/6, AND(X$24-$I149 &gt;=7,NOT(_xlfn.IFNA(ISNUMBER(SEARCH("Rending",$L149)),FALSE))), 0, X$24-$I149 =7, (7-(X$24-1-$I149))/6, X$24-$I149 =8, (7-(X$24-2-$I149))/6*2/3, X$24-$I149 =9, (7-(X$24-3-$I149))/6*1/3, TRUE, 0)) *
IF(ISNUMBER(SEARCH("Ordinance",$L149)),7/6,1) *
IF(OR(ISNUMBER(SEARCH("Melee",$L149)),ISNUMBER(SEARCH("Bypass",$L149))),1.5,1)</f>
        <v>1.3888888888888891</v>
      </c>
      <c r="Y149" s="17" cm="1">
        <f t="array" ref="Y149">$H149 *
IF(ISNUMBER(SEARCH("Rapid",$L149)),7/6,1) *
IF(OR(ISNUMBER(SEARCH("Beam",$L149)),ISNUMBER(SEARCH("Firestorm",$L149))),1, IF(ISNUMBER(SEARCH("Blast",$L149)),(4+$F149+(2-$F149)*0.5)/6*2,(4+$F149)/6)) *
IF(ISNUMBER(SEARCH("Fusion",$L149)), _xlfn.IFS(Y$24-$I149 &lt;=1, 9/10, Y$24-$I149 &lt;=10,(11-(Y$24-$I149))/10, Y$24-$I149 &gt;=11, 0),
_xlfn.IFS(Y$24-$I149 &lt;=1, 5/6, Y$24-$I149 &lt;=5, (7-(Y$24-$I149))/6, AND(Y$24-$I149 =6,NOT(_xlfn.IFNA(ISNUMBER(SEARCH("Rending",$L149)),FALSE))), (7-(Y$24-$I149))/6, AND(Y$24-$I149 &gt;=7,NOT(_xlfn.IFNA(ISNUMBER(SEARCH("Rending",$L149)),FALSE))), 0, Y$24-$I149 =7, (7-(Y$24-1-$I149))/6, Y$24-$I149 =8, (7-(Y$24-2-$I149))/6*2/3, Y$24-$I149 =9, (7-(Y$24-3-$I149))/6*1/3, TRUE, 0)) *
IF(ISNUMBER(SEARCH("Ordinance",$L149)),7/6,1) *
IF(OR(ISNUMBER(SEARCH("Melee",$L149)),ISNUMBER(SEARCH("Bypass",$L149))),1.5,1)</f>
        <v>1.3888888888888891</v>
      </c>
      <c r="Z149" s="17" cm="1">
        <f t="array" ref="Z149">$H149 *
IF(ISNUMBER(SEARCH("Rapid",$L149)),7/6,1) *
IF(OR(ISNUMBER(SEARCH("Beam",$L149)),ISNUMBER(SEARCH("Firestorm",$L149))),1, IF(ISNUMBER(SEARCH("Blast",$L149)),(4+$F149+(2-$F149)*0.5)/6*2,(4+$F149)/6)) *
IF(ISNUMBER(SEARCH("Fusion",$L149)), _xlfn.IFS(Z$24-$I149 &lt;=1, 9/10, Z$24-$I149 &lt;=10,(11-(Z$24-$I149))/10, Z$24-$I149 &gt;=11, 0),
_xlfn.IFS(Z$24-$I149 &lt;=1, 5/6, Z$24-$I149 &lt;=5, (7-(Z$24-$I149))/6, AND(Z$24-$I149 =6,NOT(_xlfn.IFNA(ISNUMBER(SEARCH("Rending",$L149)),FALSE))), (7-(Z$24-$I149))/6, AND(Z$24-$I149 &gt;=7,NOT(_xlfn.IFNA(ISNUMBER(SEARCH("Rending",$L149)),FALSE))), 0, Z$24-$I149 =7, (7-(Z$24-1-$I149))/6, Z$24-$I149 =8, (7-(Z$24-2-$I149))/6*2/3, Z$24-$I149 =9, (7-(Z$24-3-$I149))/6*1/3, TRUE, 0)) *
IF(ISNUMBER(SEARCH("Ordinance",$L149)),7/6,1) *
IF(OR(ISNUMBER(SEARCH("Melee",$L149)),ISNUMBER(SEARCH("Bypass",$L149))),1.5,1)</f>
        <v>1.3888888888888891</v>
      </c>
      <c r="AA149" s="17" cm="1">
        <f t="array" ref="AA149">$H149 *
IF(ISNUMBER(SEARCH("Rapid",$L149)),7/6,1) *
IF(OR(ISNUMBER(SEARCH("Beam",$L149)),ISNUMBER(SEARCH("Firestorm",$L149))),1, IF(ISNUMBER(SEARCH("Blast",$L149)),(4+$F149+(2-$F149)*0.5)/6*2,(4+$F149)/6)) *
IF(ISNUMBER(SEARCH("Fusion",$L149)), _xlfn.IFS(AA$24-$I149 &lt;=1, 9/10, AA$24-$I149 &lt;=10,(11-(AA$24-$I149))/10, AA$24-$I149 &gt;=11, 0),
_xlfn.IFS(AA$24-$I149 &lt;=1, 5/6, AA$24-$I149 &lt;=5, (7-(AA$24-$I149))/6, AND(AA$24-$I149 =6,NOT(_xlfn.IFNA(ISNUMBER(SEARCH("Rending",$L149)),FALSE))), (7-(AA$24-$I149))/6, AND(AA$24-$I149 &gt;=7,NOT(_xlfn.IFNA(ISNUMBER(SEARCH("Rending",$L149)),FALSE))), 0, AA$24-$I149 =7, (7-(AA$24-1-$I149))/6, AA$24-$I149 =8, (7-(AA$24-2-$I149))/6*2/3, AA$24-$I149 =9, (7-(AA$24-3-$I149))/6*1/3, TRUE, 0)) *
IF(ISNUMBER(SEARCH("Ordinance",$L149)),7/6,1) *
IF(OR(ISNUMBER(SEARCH("Melee",$L149)),ISNUMBER(SEARCH("Bypass",$L149))),1.5,1)</f>
        <v>1.3888888888888891</v>
      </c>
      <c r="AB149" s="17" cm="1">
        <f t="array" ref="AB149">$H149 *
IF(ISNUMBER(SEARCH("Rapid",$L149)),7/6,1) *
IF(OR(ISNUMBER(SEARCH("Beam",$L149)),ISNUMBER(SEARCH("Firestorm",$L149))),1, IF(ISNUMBER(SEARCH("Blast",$L149)),(4+$F149+(2-$F149)*0.5)/6*2,(4+$F149)/6)) *
IF(ISNUMBER(SEARCH("Fusion",$L149)), _xlfn.IFS(AB$24-$I149 &lt;=1, 9/10, AB$24-$I149 &lt;=10,(11-(AB$24-$I149))/10, AB$24-$I149 &gt;=11, 0),
_xlfn.IFS(AB$24-$I149 &lt;=1, 5/6, AB$24-$I149 &lt;=5, (7-(AB$24-$I149))/6, AND(AB$24-$I149 =6,NOT(_xlfn.IFNA(ISNUMBER(SEARCH("Rending",$L149)),FALSE))), (7-(AB$24-$I149))/6, AND(AB$24-$I149 &gt;=7,NOT(_xlfn.IFNA(ISNUMBER(SEARCH("Rending",$L149)),FALSE))), 0, AB$24-$I149 =7, (7-(AB$24-1-$I149))/6, AB$24-$I149 =8, (7-(AB$24-2-$I149))/6*2/3, AB$24-$I149 =9, (7-(AB$24-3-$I149))/6*1/3, TRUE, 0)) *
IF(ISNUMBER(SEARCH("Ordinance",$L149)),7/6,1) *
IF(OR(ISNUMBER(SEARCH("Melee",$L149)),ISNUMBER(SEARCH("Bypass",$L149))),1.5,1)</f>
        <v>1.1111111111111112</v>
      </c>
      <c r="AC149" s="17" cm="1">
        <f t="array" ref="AC149">$H149 *
IF(ISNUMBER(SEARCH("Rapid",$L149)),7/6,1) *
IF(OR(ISNUMBER(SEARCH("Beam",$L149)),ISNUMBER(SEARCH("Firestorm",$L149))),1, IF(ISNUMBER(SEARCH("Blast",$L149)),(4+$F149+(2-$F149)*0.5)/6*2,(4+$F149)/6)) *
IF(ISNUMBER(SEARCH("Fusion",$L149)), _xlfn.IFS(AC$24-$I149 &lt;=1, 9/10, AC$24-$I149 &lt;=10,(11-(AC$24-$I149))/10, AC$24-$I149 &gt;=11, 0),
_xlfn.IFS(AC$24-$I149 &lt;=1, 5/6, AC$24-$I149 &lt;=5, (7-(AC$24-$I149))/6, AND(AC$24-$I149 =6,NOT(_xlfn.IFNA(ISNUMBER(SEARCH("Rending",$L149)),FALSE))), (7-(AC$24-$I149))/6, AND(AC$24-$I149 &gt;=7,NOT(_xlfn.IFNA(ISNUMBER(SEARCH("Rending",$L149)),FALSE))), 0, AC$24-$I149 =7, (7-(AC$24-1-$I149))/6, AC$24-$I149 =8, (7-(AC$24-2-$I149))/6*2/3, AC$24-$I149 =9, (7-(AC$24-3-$I149))/6*1/3, TRUE, 0)) *
IF(ISNUMBER(SEARCH("Ordinance",$L149)),7/6,1) *
IF(OR(ISNUMBER(SEARCH("Melee",$L149)),ISNUMBER(SEARCH("Bypass",$L149))),1.5,1)</f>
        <v>0.83333333333333337</v>
      </c>
      <c r="AD149" s="17" cm="1">
        <f t="array" ref="AD149">$H149 *
IF(ISNUMBER(SEARCH("Rapid",$L149)),7/6,1) *
IF(OR(ISNUMBER(SEARCH("Beam",$L149)),ISNUMBER(SEARCH("Firestorm",$L149))),1, IF(ISNUMBER(SEARCH("Blast",$L149)),(4+$F149+(2-$F149)*0.5)/6*2,(4+$F149)/6)) *
IF(ISNUMBER(SEARCH("Fusion",$L149)), _xlfn.IFS(AD$24-$I149 &lt;=1, 9/10, AD$24-$I149 &lt;=10,(11-(AD$24-$I149))/10, AD$24-$I149 &gt;=11, 0),
_xlfn.IFS(AD$24-$I149 &lt;=1, 5/6, AD$24-$I149 &lt;=5, (7-(AD$24-$I149))/6, AND(AD$24-$I149 =6,NOT(_xlfn.IFNA(ISNUMBER(SEARCH("Rending",$L149)),FALSE))), (7-(AD$24-$I149))/6, AND(AD$24-$I149 &gt;=7,NOT(_xlfn.IFNA(ISNUMBER(SEARCH("Rending",$L149)),FALSE))), 0, AD$24-$I149 =7, (7-(AD$24-1-$I149))/6, AD$24-$I149 =8, (7-(AD$24-2-$I149))/6*2/3, AD$24-$I149 =9, (7-(AD$24-3-$I149))/6*1/3, TRUE, 0)) *
IF(ISNUMBER(SEARCH("Ordinance",$L149)),7/6,1) *
IF(OR(ISNUMBER(SEARCH("Melee",$L149)),ISNUMBER(SEARCH("Bypass",$L149))),1.5,1)</f>
        <v>0.55555555555555558</v>
      </c>
      <c r="AE149" s="17" cm="1">
        <f t="array" ref="AE149">$H149 *
IF(ISNUMBER(SEARCH("Rapid",$L149)),7/6,1) *
IF(OR(ISNUMBER(SEARCH("Beam",$L149)),ISNUMBER(SEARCH("Firestorm",$L149))),1, IF(ISNUMBER(SEARCH("Blast",$L149)),(4+$F149+(2-$F149)*0.5)/6*2,(4+$F149)/6)) *
IF(ISNUMBER(SEARCH("Fusion",$L149)), _xlfn.IFS(AE$24-$I149 &lt;=1, 9/10, AE$24-$I149 &lt;=10,(11-(AE$24-$I149))/10, AE$24-$I149 &gt;=11, 0),
_xlfn.IFS(AE$24-$I149 &lt;=1, 5/6, AE$24-$I149 &lt;=5, (7-(AE$24-$I149))/6, AND(AE$24-$I149 =6,NOT(_xlfn.IFNA(ISNUMBER(SEARCH("Rending",$L149)),FALSE))), (7-(AE$24-$I149))/6, AND(AE$24-$I149 &gt;=7,NOT(_xlfn.IFNA(ISNUMBER(SEARCH("Rending",$L149)),FALSE))), 0, AE$24-$I149 =7, (7-(AE$24-1-$I149))/6, AE$24-$I149 =8, (7-(AE$24-2-$I149))/6*2/3, AE$24-$I149 =9, (7-(AE$24-3-$I149))/6*1/3, TRUE, 0)) *
IF(ISNUMBER(SEARCH("Ordinance",$L149)),7/6,1) *
IF(OR(ISNUMBER(SEARCH("Melee",$L149)),ISNUMBER(SEARCH("Bypass",$L149))),1.5,1)</f>
        <v>0.27777777777777779</v>
      </c>
      <c r="AF149" s="17" cm="1">
        <f t="array" ref="AF149">$H149 *
IF(ISNUMBER(SEARCH("Rapid",$L149)),7/6,1) *
IF(OR(ISNUMBER(SEARCH("Beam",$L149)),ISNUMBER(SEARCH("Firestorm",$L149))),1, IF(ISNUMBER(SEARCH("Blast",$L149)),(4+$F149+(2-$F149)*0.5)/6*2,(4+$F149)/6)) *
IF(ISNUMBER(SEARCH("Fusion",$L149)), _xlfn.IFS(AF$24-$I149 &lt;=1, 9/10, AF$24-$I149 &lt;=10,(11-(AF$24-$I149))/10, AF$24-$I149 &gt;=11, 0),
_xlfn.IFS(AF$24-$I149 &lt;=1, 5/6, AF$24-$I149 &lt;=5, (7-(AF$24-$I149))/6, AND(AF$24-$I149 =6,NOT(_xlfn.IFNA(ISNUMBER(SEARCH("Rending",$L149)),FALSE))), (7-(AF$24-$I149))/6, AND(AF$24-$I149 &gt;=7,NOT(_xlfn.IFNA(ISNUMBER(SEARCH("Rending",$L149)),FALSE))), 0, AF$24-$I149 =7, (7-(AF$24-1-$I149))/6, AF$24-$I149 =8, (7-(AF$24-2-$I149))/6*2/3, AF$24-$I149 =9, (7-(AF$24-3-$I149))/6*1/3, TRUE, 0)) *
IF(ISNUMBER(SEARCH("Ordinance",$L149)),7/6,1) *
IF(OR(ISNUMBER(SEARCH("Melee",$L149)),ISNUMBER(SEARCH("Bypass",$L149))),1.5,1)</f>
        <v>0</v>
      </c>
      <c r="AG149" s="16">
        <f t="shared" si="35"/>
        <v>0.61111111111111105</v>
      </c>
      <c r="AH149" s="16">
        <f t="shared" si="36"/>
        <v>0.91666666666666663</v>
      </c>
      <c r="AI149" s="17" cm="1">
        <f t="array" ref="AI149">$H149 *
IF(ISNUMBER(SEARCH("Rapid",$L149)),7/6,1) *
IF(OR(ISNUMBER(SEARCH("Beam",$L149)),ISNUMBER(SEARCH("Firestorm",$L149))),1, IF(ISNUMBER(SEARCH("Blast",$L149)),(4+$G149+(2-$G149)*0.5)/6*2,(4+$G149)/6)) *
_xlfn.IFS(AI$24-$I149 &lt;=1, 5/6, AI$24-$I149 &lt;=5, (7-(AI$24-$I149))/6, AND(AI$24-$I149 =6,NOT(_xlfn.IFNA(ISNUMBER(SEARCH("Rending",$L149)),FALSE))), (7-(AI$24-$I149))/6, AND(AI$24-$I149 &gt;=7,NOT(_xlfn.IFNA(ISNUMBER(SEARCH("Rending",$L149)),FALSE))), 0, AI$24-$I149 =7, (7-(AI$24-1-$I149))/6, AI$24-$I149 =8, (7-(AI$24-2-$I149))/6*2/3, AI$24-$I149 =9, (7-(AI$24-3-$I149))/6*1/3, TRUE, 0) *
IF(ISNUMBER(SEARCH("Ordinance",$L149)),7/6,1) *
IF(OR(ISNUMBER(SEARCH("Melee",$L149)),ISNUMBER(SEARCH("Bypass",$L149))),1.5,1)</f>
        <v>1.5277777777777777</v>
      </c>
      <c r="AJ149" s="17" cm="1">
        <f t="array" ref="AJ149">$H149 *
IF(ISNUMBER(SEARCH("Rapid",$L149)),7/6,1) *
IF(OR(ISNUMBER(SEARCH("Beam",$L149)),ISNUMBER(SEARCH("Firestorm",$L149))),1, IF(ISNUMBER(SEARCH("Blast",$L149)),(4+$G149+(2-$G149)*0.5)/6*2,(4+$G149)/6)) *
_xlfn.IFS(AJ$24-$I149 &lt;=1, 5/6, AJ$24-$I149 &lt;=5, (7-(AJ$24-$I149))/6, AND(AJ$24-$I149 =6,NOT(_xlfn.IFNA(ISNUMBER(SEARCH("Rending",$L149)),FALSE))), (7-(AJ$24-$I149))/6, AND(AJ$24-$I149 &gt;=7,NOT(_xlfn.IFNA(ISNUMBER(SEARCH("Rending",$L149)),FALSE))), 0, AJ$24-$I149 =7, (7-(AJ$24-1-$I149))/6, AJ$24-$I149 =8, (7-(AJ$24-2-$I149))/6*2/3, AJ$24-$I149 =9, (7-(AJ$24-3-$I149))/6*1/3, TRUE, 0) *
IF(ISNUMBER(SEARCH("Ordinance",$L149)),7/6,1) *
IF(OR(ISNUMBER(SEARCH("Melee",$L149)),ISNUMBER(SEARCH("Bypass",$L149))),1.5,1)</f>
        <v>1.5277777777777777</v>
      </c>
      <c r="AK149" s="17" cm="1">
        <f t="array" ref="AK149">$H149 *
IF(ISNUMBER(SEARCH("Rapid",$L149)),7/6,1) *
IF(OR(ISNUMBER(SEARCH("Beam",$L149)),ISNUMBER(SEARCH("Firestorm",$L149))),1, IF(ISNUMBER(SEARCH("Blast",$L149)),(4+$G149+(2-$G149)*0.5)/6*2,(4+$G149)/6)) *
_xlfn.IFS(AK$24-$I149 &lt;=1, 5/6, AK$24-$I149 &lt;=5, (7-(AK$24-$I149))/6, AND(AK$24-$I149 =6,NOT(_xlfn.IFNA(ISNUMBER(SEARCH("Rending",$L149)),FALSE))), (7-(AK$24-$I149))/6, AND(AK$24-$I149 &gt;=7,NOT(_xlfn.IFNA(ISNUMBER(SEARCH("Rending",$L149)),FALSE))), 0, AK$24-$I149 =7, (7-(AK$24-1-$I149))/6, AK$24-$I149 =8, (7-(AK$24-2-$I149))/6*2/3, AK$24-$I149 =9, (7-(AK$24-3-$I149))/6*1/3, TRUE, 0) *
IF(ISNUMBER(SEARCH("Ordinance",$L149)),7/6,1) *
IF(OR(ISNUMBER(SEARCH("Melee",$L149)),ISNUMBER(SEARCH("Bypass",$L149))),1.5,1)</f>
        <v>1.5277777777777777</v>
      </c>
      <c r="AL149" s="17" cm="1">
        <f t="array" ref="AL149">$H149 *
IF(ISNUMBER(SEARCH("Rapid",$L149)),7/6,1) *
IF(OR(ISNUMBER(SEARCH("Beam",$L149)),ISNUMBER(SEARCH("Firestorm",$L149))),1, IF(ISNUMBER(SEARCH("Blast",$L149)),(4+$G149+(2-$G149)*0.5)/6*2,(4+$G149)/6)) *
_xlfn.IFS(AL$24-$I149 &lt;=1, 5/6, AL$24-$I149 &lt;=5, (7-(AL$24-$I149))/6, AND(AL$24-$I149 =6,NOT(_xlfn.IFNA(ISNUMBER(SEARCH("Rending",$L149)),FALSE))), (7-(AL$24-$I149))/6, AND(AL$24-$I149 &gt;=7,NOT(_xlfn.IFNA(ISNUMBER(SEARCH("Rending",$L149)),FALSE))), 0, AL$24-$I149 =7, (7-(AL$24-1-$I149))/6, AL$24-$I149 =8, (7-(AL$24-2-$I149))/6*2/3, AL$24-$I149 =9, (7-(AL$24-3-$I149))/6*1/3, TRUE, 0) *
IF(ISNUMBER(SEARCH("Ordinance",$L149)),7/6,1) *
IF(OR(ISNUMBER(SEARCH("Melee",$L149)),ISNUMBER(SEARCH("Bypass",$L149))),1.5,1)</f>
        <v>1.5277777777777777</v>
      </c>
      <c r="AM149" s="17" cm="1">
        <f t="array" ref="AM149">$H149 *
IF(ISNUMBER(SEARCH("Rapid",$L149)),7/6,1) *
IF(OR(ISNUMBER(SEARCH("Beam",$L149)),ISNUMBER(SEARCH("Firestorm",$L149))),1, IF(ISNUMBER(SEARCH("Blast",$L149)),(4+$G149+(2-$G149)*0.5)/6*2,(4+$G149)/6)) *
_xlfn.IFS(AM$24-$I149 &lt;=1, 5/6, AM$24-$I149 &lt;=5, (7-(AM$24-$I149))/6, AND(AM$24-$I149 =6,NOT(_xlfn.IFNA(ISNUMBER(SEARCH("Rending",$L149)),FALSE))), (7-(AM$24-$I149))/6, AND(AM$24-$I149 &gt;=7,NOT(_xlfn.IFNA(ISNUMBER(SEARCH("Rending",$L149)),FALSE))), 0, AM$24-$I149 =7, (7-(AM$24-1-$I149))/6, AM$24-$I149 =8, (7-(AM$24-2-$I149))/6*2/3, AM$24-$I149 =9, (7-(AM$24-3-$I149))/6*1/3, TRUE, 0) *
IF(ISNUMBER(SEARCH("Ordinance",$L149)),7/6,1) *
IF(OR(ISNUMBER(SEARCH("Melee",$L149)),ISNUMBER(SEARCH("Bypass",$L149))),1.5,1)</f>
        <v>1.2222222222222221</v>
      </c>
      <c r="AN149" s="17" cm="1">
        <f t="array" ref="AN149">$H149 *
IF(ISNUMBER(SEARCH("Rapid",$L149)),7/6,1) *
IF(OR(ISNUMBER(SEARCH("Beam",$L149)),ISNUMBER(SEARCH("Firestorm",$L149))),1, IF(ISNUMBER(SEARCH("Blast",$L149)),(4+$G149+(2-$G149)*0.5)/6*2,(4+$G149)/6)) *
_xlfn.IFS(AN$24-$I149 &lt;=1, 5/6, AN$24-$I149 &lt;=5, (7-(AN$24-$I149))/6, AND(AN$24-$I149 =6,NOT(_xlfn.IFNA(ISNUMBER(SEARCH("Rending",$L149)),FALSE))), (7-(AN$24-$I149))/6, AND(AN$24-$I149 &gt;=7,NOT(_xlfn.IFNA(ISNUMBER(SEARCH("Rending",$L149)),FALSE))), 0, AN$24-$I149 =7, (7-(AN$24-1-$I149))/6, AN$24-$I149 =8, (7-(AN$24-2-$I149))/6*2/3, AN$24-$I149 =9, (7-(AN$24-3-$I149))/6*1/3, TRUE, 0) *
IF(ISNUMBER(SEARCH("Ordinance",$L149)),7/6,1) *
IF(OR(ISNUMBER(SEARCH("Melee",$L149)),ISNUMBER(SEARCH("Bypass",$L149))),1.5,1)</f>
        <v>0.91666666666666663</v>
      </c>
      <c r="AO149" s="17" cm="1">
        <f t="array" ref="AO149">$H149 *
IF(ISNUMBER(SEARCH("Rapid",$L149)),7/6,1) *
IF(OR(ISNUMBER(SEARCH("Beam",$L149)),ISNUMBER(SEARCH("Firestorm",$L149))),1, IF(ISNUMBER(SEARCH("Blast",$L149)),(4+$G149+(2-$G149)*0.5)/6*2,(4+$G149)/6)) *
_xlfn.IFS(AO$24-$I149 &lt;=1, 5/6, AO$24-$I149 &lt;=5, (7-(AO$24-$I149))/6, AND(AO$24-$I149 =6,NOT(_xlfn.IFNA(ISNUMBER(SEARCH("Rending",$L149)),FALSE))), (7-(AO$24-$I149))/6, AND(AO$24-$I149 &gt;=7,NOT(_xlfn.IFNA(ISNUMBER(SEARCH("Rending",$L149)),FALSE))), 0, AO$24-$I149 =7, (7-(AO$24-1-$I149))/6, AO$24-$I149 =8, (7-(AO$24-2-$I149))/6*2/3, AO$24-$I149 =9, (7-(AO$24-3-$I149))/6*1/3, TRUE, 0) *
IF(ISNUMBER(SEARCH("Ordinance",$L149)),7/6,1) *
IF(OR(ISNUMBER(SEARCH("Melee",$L149)),ISNUMBER(SEARCH("Bypass",$L149))),1.5,1)</f>
        <v>0.61111111111111105</v>
      </c>
      <c r="AP149" s="17" cm="1">
        <f t="array" ref="AP149">$H149 *
IF(ISNUMBER(SEARCH("Rapid",$L149)),7/6,1) *
IF(OR(ISNUMBER(SEARCH("Beam",$L149)),ISNUMBER(SEARCH("Firestorm",$L149))),1, IF(ISNUMBER(SEARCH("Blast",$L149)),(4+$G149+(2-$G149)*0.5)/6*2,(4+$G149)/6)) *
_xlfn.IFS(AP$24-$I149 &lt;=1, 5/6, AP$24-$I149 &lt;=5, (7-(AP$24-$I149))/6, AND(AP$24-$I149 =6,NOT(_xlfn.IFNA(ISNUMBER(SEARCH("Rending",$L149)),FALSE))), (7-(AP$24-$I149))/6, AND(AP$24-$I149 &gt;=7,NOT(_xlfn.IFNA(ISNUMBER(SEARCH("Rending",$L149)),FALSE))), 0, AP$24-$I149 =7, (7-(AP$24-1-$I149))/6, AP$24-$I149 =8, (7-(AP$24-2-$I149))/6*2/3, AP$24-$I149 =9, (7-(AP$24-3-$I149))/6*1/3, TRUE, 0) *
IF(ISNUMBER(SEARCH("Ordinance",$L149)),7/6,1) *
IF(OR(ISNUMBER(SEARCH("Melee",$L149)),ISNUMBER(SEARCH("Bypass",$L149))),1.5,1)</f>
        <v>0.30555555555555552</v>
      </c>
      <c r="AQ149" s="17" cm="1">
        <f t="array" ref="AQ149">$H149 *
IF(ISNUMBER(SEARCH("Rapid",$L149)),7/6,1) *
IF(OR(ISNUMBER(SEARCH("Beam",$L149)),ISNUMBER(SEARCH("Firestorm",$L149))),1, IF(ISNUMBER(SEARCH("Blast",$L149)),(4+$G149+(2-$G149)*0.5)/6*2,(4+$G149)/6)) *
_xlfn.IFS(AQ$24-$I149 &lt;=1, 5/6, AQ$24-$I149 &lt;=5, (7-(AQ$24-$I149))/6, AND(AQ$24-$I149 =6,NOT(_xlfn.IFNA(ISNUMBER(SEARCH("Rending",$L149)),FALSE))), (7-(AQ$24-$I149))/6, AND(AQ$24-$I149 &gt;=7,NOT(_xlfn.IFNA(ISNUMBER(SEARCH("Rending",$L149)),FALSE))), 0, AQ$24-$I149 =7, (7-(AQ$24-1-$I149))/6, AQ$24-$I149 =8, (7-(AQ$24-2-$I149))/6*2/3, AQ$24-$I149 =9, (7-(AQ$24-3-$I149))/6*1/3, TRUE, 0) *
IF(ISNUMBER(SEARCH("Ordinance",$L149)),7/6,1) *
IF(OR(ISNUMBER(SEARCH("Melee",$L149)),ISNUMBER(SEARCH("Bypass",$L149))),1.5,1)</f>
        <v>0</v>
      </c>
      <c r="AS149" s="16">
        <f t="shared" si="38"/>
        <v>0.40740740740740738</v>
      </c>
      <c r="AT149" s="16">
        <f t="shared" si="39"/>
        <v>0.61111111111111105</v>
      </c>
      <c r="AU149" s="16">
        <f t="shared" si="40"/>
        <v>1.2407407407407407</v>
      </c>
      <c r="AV149" s="2">
        <v>12</v>
      </c>
    </row>
    <row r="150" spans="1:48" x14ac:dyDescent="0.3">
      <c r="A150" t="s">
        <v>585</v>
      </c>
      <c r="B150" s="3">
        <v>24</v>
      </c>
      <c r="C150" s="3">
        <v>72</v>
      </c>
      <c r="D150" s="3">
        <v>1</v>
      </c>
      <c r="E150" s="3">
        <v>2</v>
      </c>
      <c r="F150" s="10">
        <v>-1</v>
      </c>
      <c r="G150" s="10"/>
      <c r="H150" s="3">
        <v>1</v>
      </c>
      <c r="I150" s="3">
        <v>9</v>
      </c>
      <c r="J150" s="3" t="s">
        <v>586</v>
      </c>
      <c r="K150" s="3">
        <v>20</v>
      </c>
      <c r="L150" s="3" t="s">
        <v>587</v>
      </c>
      <c r="M150" s="3" t="s">
        <v>199</v>
      </c>
      <c r="N150" s="3">
        <v>11</v>
      </c>
      <c r="O150" s="3">
        <v>11</v>
      </c>
      <c r="P150" s="3">
        <v>15</v>
      </c>
      <c r="Q150" s="3" t="s">
        <v>200</v>
      </c>
      <c r="R150" s="3">
        <v>7</v>
      </c>
      <c r="S150" s="3">
        <v>9</v>
      </c>
      <c r="T150" s="3">
        <v>4</v>
      </c>
      <c r="V150" s="16">
        <f t="shared" si="33"/>
        <v>0.5</v>
      </c>
      <c r="W150" s="16">
        <f t="shared" si="34"/>
        <v>0.75</v>
      </c>
      <c r="X150" s="17" cm="1">
        <f t="array" ref="X150">$H150 *
IF(ISNUMBER(SEARCH("Rapid",$L150)),7/6,1) *
IF(OR(ISNUMBER(SEARCH("Beam",$L150)),ISNUMBER(SEARCH("Firestorm",$L150))),1, IF(ISNUMBER(SEARCH("Blast",$L150)),(4+$F150+(2-$F150)*0.5)/6*2,(4+$F150)/6)) *
IF(ISNUMBER(SEARCH("Fusion",$L150)), _xlfn.IFS(X$24-$I150 &lt;=1, 9/10, X$24-$I150 &lt;=10,(11-(X$24-$I150))/10, X$24-$I150 &gt;=11, 0),
_xlfn.IFS(X$24-$I150 &lt;=1, 5/6, X$24-$I150 &lt;=5, (7-(X$24-$I150))/6, AND(X$24-$I150 =6,NOT(_xlfn.IFNA(ISNUMBER(SEARCH("Rending",$L150)),FALSE))), (7-(X$24-$I150))/6, AND(X$24-$I150 &gt;=7,NOT(_xlfn.IFNA(ISNUMBER(SEARCH("Rending",$L150)),FALSE))), 0, X$24-$I150 =7, (7-(X$24-1-$I150))/6, X$24-$I150 =8, (7-(X$24-2-$I150))/6*2/3, X$24-$I150 =9, (7-(X$24-3-$I150))/6*1/3, TRUE, 0)) *
IF(ISNUMBER(SEARCH("Ordinance",$L150)),7/6,1) *
IF(OR(ISNUMBER(SEARCH("Melee",$L150)),ISNUMBER(SEARCH("Bypass",$L150))),1.5,1)</f>
        <v>1.25</v>
      </c>
      <c r="Y150" s="17" cm="1">
        <f t="array" ref="Y150">$H150 *
IF(ISNUMBER(SEARCH("Rapid",$L150)),7/6,1) *
IF(OR(ISNUMBER(SEARCH("Beam",$L150)),ISNUMBER(SEARCH("Firestorm",$L150))),1, IF(ISNUMBER(SEARCH("Blast",$L150)),(4+$F150+(2-$F150)*0.5)/6*2,(4+$F150)/6)) *
IF(ISNUMBER(SEARCH("Fusion",$L150)), _xlfn.IFS(Y$24-$I150 &lt;=1, 9/10, Y$24-$I150 &lt;=10,(11-(Y$24-$I150))/10, Y$24-$I150 &gt;=11, 0),
_xlfn.IFS(Y$24-$I150 &lt;=1, 5/6, Y$24-$I150 &lt;=5, (7-(Y$24-$I150))/6, AND(Y$24-$I150 =6,NOT(_xlfn.IFNA(ISNUMBER(SEARCH("Rending",$L150)),FALSE))), (7-(Y$24-$I150))/6, AND(Y$24-$I150 &gt;=7,NOT(_xlfn.IFNA(ISNUMBER(SEARCH("Rending",$L150)),FALSE))), 0, Y$24-$I150 =7, (7-(Y$24-1-$I150))/6, Y$24-$I150 =8, (7-(Y$24-2-$I150))/6*2/3, Y$24-$I150 =9, (7-(Y$24-3-$I150))/6*1/3, TRUE, 0)) *
IF(ISNUMBER(SEARCH("Ordinance",$L150)),7/6,1) *
IF(OR(ISNUMBER(SEARCH("Melee",$L150)),ISNUMBER(SEARCH("Bypass",$L150))),1.5,1)</f>
        <v>1.25</v>
      </c>
      <c r="Z150" s="17" cm="1">
        <f t="array" ref="Z150">$H150 *
IF(ISNUMBER(SEARCH("Rapid",$L150)),7/6,1) *
IF(OR(ISNUMBER(SEARCH("Beam",$L150)),ISNUMBER(SEARCH("Firestorm",$L150))),1, IF(ISNUMBER(SEARCH("Blast",$L150)),(4+$F150+(2-$F150)*0.5)/6*2,(4+$F150)/6)) *
IF(ISNUMBER(SEARCH("Fusion",$L150)), _xlfn.IFS(Z$24-$I150 &lt;=1, 9/10, Z$24-$I150 &lt;=10,(11-(Z$24-$I150))/10, Z$24-$I150 &gt;=11, 0),
_xlfn.IFS(Z$24-$I150 &lt;=1, 5/6, Z$24-$I150 &lt;=5, (7-(Z$24-$I150))/6, AND(Z$24-$I150 =6,NOT(_xlfn.IFNA(ISNUMBER(SEARCH("Rending",$L150)),FALSE))), (7-(Z$24-$I150))/6, AND(Z$24-$I150 &gt;=7,NOT(_xlfn.IFNA(ISNUMBER(SEARCH("Rending",$L150)),FALSE))), 0, Z$24-$I150 =7, (7-(Z$24-1-$I150))/6, Z$24-$I150 =8, (7-(Z$24-2-$I150))/6*2/3, Z$24-$I150 =9, (7-(Z$24-3-$I150))/6*1/3, TRUE, 0)) *
IF(ISNUMBER(SEARCH("Ordinance",$L150)),7/6,1) *
IF(OR(ISNUMBER(SEARCH("Melee",$L150)),ISNUMBER(SEARCH("Bypass",$L150))),1.5,1)</f>
        <v>1.25</v>
      </c>
      <c r="AA150" s="17" cm="1">
        <f t="array" ref="AA150">$H150 *
IF(ISNUMBER(SEARCH("Rapid",$L150)),7/6,1) *
IF(OR(ISNUMBER(SEARCH("Beam",$L150)),ISNUMBER(SEARCH("Firestorm",$L150))),1, IF(ISNUMBER(SEARCH("Blast",$L150)),(4+$F150+(2-$F150)*0.5)/6*2,(4+$F150)/6)) *
IF(ISNUMBER(SEARCH("Fusion",$L150)), _xlfn.IFS(AA$24-$I150 &lt;=1, 9/10, AA$24-$I150 &lt;=10,(11-(AA$24-$I150))/10, AA$24-$I150 &gt;=11, 0),
_xlfn.IFS(AA$24-$I150 &lt;=1, 5/6, AA$24-$I150 &lt;=5, (7-(AA$24-$I150))/6, AND(AA$24-$I150 =6,NOT(_xlfn.IFNA(ISNUMBER(SEARCH("Rending",$L150)),FALSE))), (7-(AA$24-$I150))/6, AND(AA$24-$I150 &gt;=7,NOT(_xlfn.IFNA(ISNUMBER(SEARCH("Rending",$L150)),FALSE))), 0, AA$24-$I150 =7, (7-(AA$24-1-$I150))/6, AA$24-$I150 =8, (7-(AA$24-2-$I150))/6*2/3, AA$24-$I150 =9, (7-(AA$24-3-$I150))/6*1/3, TRUE, 0)) *
IF(ISNUMBER(SEARCH("Ordinance",$L150)),7/6,1) *
IF(OR(ISNUMBER(SEARCH("Melee",$L150)),ISNUMBER(SEARCH("Bypass",$L150))),1.5,1)</f>
        <v>1</v>
      </c>
      <c r="AB150" s="17" cm="1">
        <f t="array" ref="AB150">$H150 *
IF(ISNUMBER(SEARCH("Rapid",$L150)),7/6,1) *
IF(OR(ISNUMBER(SEARCH("Beam",$L150)),ISNUMBER(SEARCH("Firestorm",$L150))),1, IF(ISNUMBER(SEARCH("Blast",$L150)),(4+$F150+(2-$F150)*0.5)/6*2,(4+$F150)/6)) *
IF(ISNUMBER(SEARCH("Fusion",$L150)), _xlfn.IFS(AB$24-$I150 &lt;=1, 9/10, AB$24-$I150 &lt;=10,(11-(AB$24-$I150))/10, AB$24-$I150 &gt;=11, 0),
_xlfn.IFS(AB$24-$I150 &lt;=1, 5/6, AB$24-$I150 &lt;=5, (7-(AB$24-$I150))/6, AND(AB$24-$I150 =6,NOT(_xlfn.IFNA(ISNUMBER(SEARCH("Rending",$L150)),FALSE))), (7-(AB$24-$I150))/6, AND(AB$24-$I150 &gt;=7,NOT(_xlfn.IFNA(ISNUMBER(SEARCH("Rending",$L150)),FALSE))), 0, AB$24-$I150 =7, (7-(AB$24-1-$I150))/6, AB$24-$I150 =8, (7-(AB$24-2-$I150))/6*2/3, AB$24-$I150 =9, (7-(AB$24-3-$I150))/6*1/3, TRUE, 0)) *
IF(ISNUMBER(SEARCH("Ordinance",$L150)),7/6,1) *
IF(OR(ISNUMBER(SEARCH("Melee",$L150)),ISNUMBER(SEARCH("Bypass",$L150))),1.5,1)</f>
        <v>0.75</v>
      </c>
      <c r="AC150" s="17" cm="1">
        <f t="array" ref="AC150">$H150 *
IF(ISNUMBER(SEARCH("Rapid",$L150)),7/6,1) *
IF(OR(ISNUMBER(SEARCH("Beam",$L150)),ISNUMBER(SEARCH("Firestorm",$L150))),1, IF(ISNUMBER(SEARCH("Blast",$L150)),(4+$F150+(2-$F150)*0.5)/6*2,(4+$F150)/6)) *
IF(ISNUMBER(SEARCH("Fusion",$L150)), _xlfn.IFS(AC$24-$I150 &lt;=1, 9/10, AC$24-$I150 &lt;=10,(11-(AC$24-$I150))/10, AC$24-$I150 &gt;=11, 0),
_xlfn.IFS(AC$24-$I150 &lt;=1, 5/6, AC$24-$I150 &lt;=5, (7-(AC$24-$I150))/6, AND(AC$24-$I150 =6,NOT(_xlfn.IFNA(ISNUMBER(SEARCH("Rending",$L150)),FALSE))), (7-(AC$24-$I150))/6, AND(AC$24-$I150 &gt;=7,NOT(_xlfn.IFNA(ISNUMBER(SEARCH("Rending",$L150)),FALSE))), 0, AC$24-$I150 =7, (7-(AC$24-1-$I150))/6, AC$24-$I150 =8, (7-(AC$24-2-$I150))/6*2/3, AC$24-$I150 =9, (7-(AC$24-3-$I150))/6*1/3, TRUE, 0)) *
IF(ISNUMBER(SEARCH("Ordinance",$L150)),7/6,1) *
IF(OR(ISNUMBER(SEARCH("Melee",$L150)),ISNUMBER(SEARCH("Bypass",$L150))),1.5,1)</f>
        <v>0.5</v>
      </c>
      <c r="AD150" s="17" cm="1">
        <f t="array" ref="AD150">$H150 *
IF(ISNUMBER(SEARCH("Rapid",$L150)),7/6,1) *
IF(OR(ISNUMBER(SEARCH("Beam",$L150)),ISNUMBER(SEARCH("Firestorm",$L150))),1, IF(ISNUMBER(SEARCH("Blast",$L150)),(4+$F150+(2-$F150)*0.5)/6*2,(4+$F150)/6)) *
IF(ISNUMBER(SEARCH("Fusion",$L150)), _xlfn.IFS(AD$24-$I150 &lt;=1, 9/10, AD$24-$I150 &lt;=10,(11-(AD$24-$I150))/10, AD$24-$I150 &gt;=11, 0),
_xlfn.IFS(AD$24-$I150 &lt;=1, 5/6, AD$24-$I150 &lt;=5, (7-(AD$24-$I150))/6, AND(AD$24-$I150 =6,NOT(_xlfn.IFNA(ISNUMBER(SEARCH("Rending",$L150)),FALSE))), (7-(AD$24-$I150))/6, AND(AD$24-$I150 &gt;=7,NOT(_xlfn.IFNA(ISNUMBER(SEARCH("Rending",$L150)),FALSE))), 0, AD$24-$I150 =7, (7-(AD$24-1-$I150))/6, AD$24-$I150 =8, (7-(AD$24-2-$I150))/6*2/3, AD$24-$I150 =9, (7-(AD$24-3-$I150))/6*1/3, TRUE, 0)) *
IF(ISNUMBER(SEARCH("Ordinance",$L150)),7/6,1) *
IF(OR(ISNUMBER(SEARCH("Melee",$L150)),ISNUMBER(SEARCH("Bypass",$L150))),1.5,1)</f>
        <v>0.25</v>
      </c>
      <c r="AE150" s="17" cm="1">
        <f t="array" ref="AE150">$H150 *
IF(ISNUMBER(SEARCH("Rapid",$L150)),7/6,1) *
IF(OR(ISNUMBER(SEARCH("Beam",$L150)),ISNUMBER(SEARCH("Firestorm",$L150))),1, IF(ISNUMBER(SEARCH("Blast",$L150)),(4+$F150+(2-$F150)*0.5)/6*2,(4+$F150)/6)) *
IF(ISNUMBER(SEARCH("Fusion",$L150)), _xlfn.IFS(AE$24-$I150 &lt;=1, 9/10, AE$24-$I150 &lt;=10,(11-(AE$24-$I150))/10, AE$24-$I150 &gt;=11, 0),
_xlfn.IFS(AE$24-$I150 &lt;=1, 5/6, AE$24-$I150 &lt;=5, (7-(AE$24-$I150))/6, AND(AE$24-$I150 =6,NOT(_xlfn.IFNA(ISNUMBER(SEARCH("Rending",$L150)),FALSE))), (7-(AE$24-$I150))/6, AND(AE$24-$I150 &gt;=7,NOT(_xlfn.IFNA(ISNUMBER(SEARCH("Rending",$L150)),FALSE))), 0, AE$24-$I150 =7, (7-(AE$24-1-$I150))/6, AE$24-$I150 =8, (7-(AE$24-2-$I150))/6*2/3, AE$24-$I150 =9, (7-(AE$24-3-$I150))/6*1/3, TRUE, 0)) *
IF(ISNUMBER(SEARCH("Ordinance",$L150)),7/6,1) *
IF(OR(ISNUMBER(SEARCH("Melee",$L150)),ISNUMBER(SEARCH("Bypass",$L150))),1.5,1)</f>
        <v>0</v>
      </c>
      <c r="AF150" s="17" cm="1">
        <f t="array" ref="AF150">$H150 *
IF(ISNUMBER(SEARCH("Rapid",$L150)),7/6,1) *
IF(OR(ISNUMBER(SEARCH("Beam",$L150)),ISNUMBER(SEARCH("Firestorm",$L150))),1, IF(ISNUMBER(SEARCH("Blast",$L150)),(4+$F150+(2-$F150)*0.5)/6*2,(4+$F150)/6)) *
IF(ISNUMBER(SEARCH("Fusion",$L150)), _xlfn.IFS(AF$24-$I150 &lt;=1, 9/10, AF$24-$I150 &lt;=10,(11-(AF$24-$I150))/10, AF$24-$I150 &gt;=11, 0),
_xlfn.IFS(AF$24-$I150 &lt;=1, 5/6, AF$24-$I150 &lt;=5, (7-(AF$24-$I150))/6, AND(AF$24-$I150 =6,NOT(_xlfn.IFNA(ISNUMBER(SEARCH("Rending",$L150)),FALSE))), (7-(AF$24-$I150))/6, AND(AF$24-$I150 &gt;=7,NOT(_xlfn.IFNA(ISNUMBER(SEARCH("Rending",$L150)),FALSE))), 0, AF$24-$I150 =7, (7-(AF$24-1-$I150))/6, AF$24-$I150 =8, (7-(AF$24-2-$I150))/6*2/3, AF$24-$I150 =9, (7-(AF$24-3-$I150))/6*1/3, TRUE, 0)) *
IF(ISNUMBER(SEARCH("Ordinance",$L150)),7/6,1) *
IF(OR(ISNUMBER(SEARCH("Melee",$L150)),ISNUMBER(SEARCH("Bypass",$L150))),1.5,1)</f>
        <v>0</v>
      </c>
      <c r="AG150" s="16">
        <f t="shared" si="35"/>
        <v>0.55555555555555558</v>
      </c>
      <c r="AH150" s="16">
        <f t="shared" si="36"/>
        <v>0.83333333333333337</v>
      </c>
      <c r="AI150" s="17" cm="1">
        <f t="array" ref="AI150">$H150 *
IF(ISNUMBER(SEARCH("Rapid",$L150)),7/6,1) *
IF(OR(ISNUMBER(SEARCH("Beam",$L150)),ISNUMBER(SEARCH("Firestorm",$L150))),1, IF(ISNUMBER(SEARCH("Blast",$L150)),(4+$G150+(2-$G150)*0.5)/6*2,(4+$G150)/6)) *
_xlfn.IFS(AI$24-$I150 &lt;=1, 5/6, AI$24-$I150 &lt;=5, (7-(AI$24-$I150))/6, AND(AI$24-$I150 =6,NOT(_xlfn.IFNA(ISNUMBER(SEARCH("Rending",$L150)),FALSE))), (7-(AI$24-$I150))/6, AND(AI$24-$I150 &gt;=7,NOT(_xlfn.IFNA(ISNUMBER(SEARCH("Rending",$L150)),FALSE))), 0, AI$24-$I150 =7, (7-(AI$24-1-$I150))/6, AI$24-$I150 =8, (7-(AI$24-2-$I150))/6*2/3, AI$24-$I150 =9, (7-(AI$24-3-$I150))/6*1/3, TRUE, 0) *
IF(ISNUMBER(SEARCH("Ordinance",$L150)),7/6,1) *
IF(OR(ISNUMBER(SEARCH("Melee",$L150)),ISNUMBER(SEARCH("Bypass",$L150))),1.5,1)</f>
        <v>1.3888888888888891</v>
      </c>
      <c r="AJ150" s="17" cm="1">
        <f t="array" ref="AJ150">$H150 *
IF(ISNUMBER(SEARCH("Rapid",$L150)),7/6,1) *
IF(OR(ISNUMBER(SEARCH("Beam",$L150)),ISNUMBER(SEARCH("Firestorm",$L150))),1, IF(ISNUMBER(SEARCH("Blast",$L150)),(4+$G150+(2-$G150)*0.5)/6*2,(4+$G150)/6)) *
_xlfn.IFS(AJ$24-$I150 &lt;=1, 5/6, AJ$24-$I150 &lt;=5, (7-(AJ$24-$I150))/6, AND(AJ$24-$I150 =6,NOT(_xlfn.IFNA(ISNUMBER(SEARCH("Rending",$L150)),FALSE))), (7-(AJ$24-$I150))/6, AND(AJ$24-$I150 &gt;=7,NOT(_xlfn.IFNA(ISNUMBER(SEARCH("Rending",$L150)),FALSE))), 0, AJ$24-$I150 =7, (7-(AJ$24-1-$I150))/6, AJ$24-$I150 =8, (7-(AJ$24-2-$I150))/6*2/3, AJ$24-$I150 =9, (7-(AJ$24-3-$I150))/6*1/3, TRUE, 0) *
IF(ISNUMBER(SEARCH("Ordinance",$L150)),7/6,1) *
IF(OR(ISNUMBER(SEARCH("Melee",$L150)),ISNUMBER(SEARCH("Bypass",$L150))),1.5,1)</f>
        <v>1.3888888888888891</v>
      </c>
      <c r="AK150" s="17" cm="1">
        <f t="array" ref="AK150">$H150 *
IF(ISNUMBER(SEARCH("Rapid",$L150)),7/6,1) *
IF(OR(ISNUMBER(SEARCH("Beam",$L150)),ISNUMBER(SEARCH("Firestorm",$L150))),1, IF(ISNUMBER(SEARCH("Blast",$L150)),(4+$G150+(2-$G150)*0.5)/6*2,(4+$G150)/6)) *
_xlfn.IFS(AK$24-$I150 &lt;=1, 5/6, AK$24-$I150 &lt;=5, (7-(AK$24-$I150))/6, AND(AK$24-$I150 =6,NOT(_xlfn.IFNA(ISNUMBER(SEARCH("Rending",$L150)),FALSE))), (7-(AK$24-$I150))/6, AND(AK$24-$I150 &gt;=7,NOT(_xlfn.IFNA(ISNUMBER(SEARCH("Rending",$L150)),FALSE))), 0, AK$24-$I150 =7, (7-(AK$24-1-$I150))/6, AK$24-$I150 =8, (7-(AK$24-2-$I150))/6*2/3, AK$24-$I150 =9, (7-(AK$24-3-$I150))/6*1/3, TRUE, 0) *
IF(ISNUMBER(SEARCH("Ordinance",$L150)),7/6,1) *
IF(OR(ISNUMBER(SEARCH("Melee",$L150)),ISNUMBER(SEARCH("Bypass",$L150))),1.5,1)</f>
        <v>1.3888888888888891</v>
      </c>
      <c r="AL150" s="17" cm="1">
        <f t="array" ref="AL150">$H150 *
IF(ISNUMBER(SEARCH("Rapid",$L150)),7/6,1) *
IF(OR(ISNUMBER(SEARCH("Beam",$L150)),ISNUMBER(SEARCH("Firestorm",$L150))),1, IF(ISNUMBER(SEARCH("Blast",$L150)),(4+$G150+(2-$G150)*0.5)/6*2,(4+$G150)/6)) *
_xlfn.IFS(AL$24-$I150 &lt;=1, 5/6, AL$24-$I150 &lt;=5, (7-(AL$24-$I150))/6, AND(AL$24-$I150 =6,NOT(_xlfn.IFNA(ISNUMBER(SEARCH("Rending",$L150)),FALSE))), (7-(AL$24-$I150))/6, AND(AL$24-$I150 &gt;=7,NOT(_xlfn.IFNA(ISNUMBER(SEARCH("Rending",$L150)),FALSE))), 0, AL$24-$I150 =7, (7-(AL$24-1-$I150))/6, AL$24-$I150 =8, (7-(AL$24-2-$I150))/6*2/3, AL$24-$I150 =9, (7-(AL$24-3-$I150))/6*1/3, TRUE, 0) *
IF(ISNUMBER(SEARCH("Ordinance",$L150)),7/6,1) *
IF(OR(ISNUMBER(SEARCH("Melee",$L150)),ISNUMBER(SEARCH("Bypass",$L150))),1.5,1)</f>
        <v>1.1111111111111112</v>
      </c>
      <c r="AM150" s="17" cm="1">
        <f t="array" ref="AM150">$H150 *
IF(ISNUMBER(SEARCH("Rapid",$L150)),7/6,1) *
IF(OR(ISNUMBER(SEARCH("Beam",$L150)),ISNUMBER(SEARCH("Firestorm",$L150))),1, IF(ISNUMBER(SEARCH("Blast",$L150)),(4+$G150+(2-$G150)*0.5)/6*2,(4+$G150)/6)) *
_xlfn.IFS(AM$24-$I150 &lt;=1, 5/6, AM$24-$I150 &lt;=5, (7-(AM$24-$I150))/6, AND(AM$24-$I150 =6,NOT(_xlfn.IFNA(ISNUMBER(SEARCH("Rending",$L150)),FALSE))), (7-(AM$24-$I150))/6, AND(AM$24-$I150 &gt;=7,NOT(_xlfn.IFNA(ISNUMBER(SEARCH("Rending",$L150)),FALSE))), 0, AM$24-$I150 =7, (7-(AM$24-1-$I150))/6, AM$24-$I150 =8, (7-(AM$24-2-$I150))/6*2/3, AM$24-$I150 =9, (7-(AM$24-3-$I150))/6*1/3, TRUE, 0) *
IF(ISNUMBER(SEARCH("Ordinance",$L150)),7/6,1) *
IF(OR(ISNUMBER(SEARCH("Melee",$L150)),ISNUMBER(SEARCH("Bypass",$L150))),1.5,1)</f>
        <v>0.83333333333333337</v>
      </c>
      <c r="AN150" s="17" cm="1">
        <f t="array" ref="AN150">$H150 *
IF(ISNUMBER(SEARCH("Rapid",$L150)),7/6,1) *
IF(OR(ISNUMBER(SEARCH("Beam",$L150)),ISNUMBER(SEARCH("Firestorm",$L150))),1, IF(ISNUMBER(SEARCH("Blast",$L150)),(4+$G150+(2-$G150)*0.5)/6*2,(4+$G150)/6)) *
_xlfn.IFS(AN$24-$I150 &lt;=1, 5/6, AN$24-$I150 &lt;=5, (7-(AN$24-$I150))/6, AND(AN$24-$I150 =6,NOT(_xlfn.IFNA(ISNUMBER(SEARCH("Rending",$L150)),FALSE))), (7-(AN$24-$I150))/6, AND(AN$24-$I150 &gt;=7,NOT(_xlfn.IFNA(ISNUMBER(SEARCH("Rending",$L150)),FALSE))), 0, AN$24-$I150 =7, (7-(AN$24-1-$I150))/6, AN$24-$I150 =8, (7-(AN$24-2-$I150))/6*2/3, AN$24-$I150 =9, (7-(AN$24-3-$I150))/6*1/3, TRUE, 0) *
IF(ISNUMBER(SEARCH("Ordinance",$L150)),7/6,1) *
IF(OR(ISNUMBER(SEARCH("Melee",$L150)),ISNUMBER(SEARCH("Bypass",$L150))),1.5,1)</f>
        <v>0.55555555555555558</v>
      </c>
      <c r="AO150" s="17" cm="1">
        <f t="array" ref="AO150">$H150 *
IF(ISNUMBER(SEARCH("Rapid",$L150)),7/6,1) *
IF(OR(ISNUMBER(SEARCH("Beam",$L150)),ISNUMBER(SEARCH("Firestorm",$L150))),1, IF(ISNUMBER(SEARCH("Blast",$L150)),(4+$G150+(2-$G150)*0.5)/6*2,(4+$G150)/6)) *
_xlfn.IFS(AO$24-$I150 &lt;=1, 5/6, AO$24-$I150 &lt;=5, (7-(AO$24-$I150))/6, AND(AO$24-$I150 =6,NOT(_xlfn.IFNA(ISNUMBER(SEARCH("Rending",$L150)),FALSE))), (7-(AO$24-$I150))/6, AND(AO$24-$I150 &gt;=7,NOT(_xlfn.IFNA(ISNUMBER(SEARCH("Rending",$L150)),FALSE))), 0, AO$24-$I150 =7, (7-(AO$24-1-$I150))/6, AO$24-$I150 =8, (7-(AO$24-2-$I150))/6*2/3, AO$24-$I150 =9, (7-(AO$24-3-$I150))/6*1/3, TRUE, 0) *
IF(ISNUMBER(SEARCH("Ordinance",$L150)),7/6,1) *
IF(OR(ISNUMBER(SEARCH("Melee",$L150)),ISNUMBER(SEARCH("Bypass",$L150))),1.5,1)</f>
        <v>0.27777777777777779</v>
      </c>
      <c r="AP150" s="17" cm="1">
        <f t="array" ref="AP150">$H150 *
IF(ISNUMBER(SEARCH("Rapid",$L150)),7/6,1) *
IF(OR(ISNUMBER(SEARCH("Beam",$L150)),ISNUMBER(SEARCH("Firestorm",$L150))),1, IF(ISNUMBER(SEARCH("Blast",$L150)),(4+$G150+(2-$G150)*0.5)/6*2,(4+$G150)/6)) *
_xlfn.IFS(AP$24-$I150 &lt;=1, 5/6, AP$24-$I150 &lt;=5, (7-(AP$24-$I150))/6, AND(AP$24-$I150 =6,NOT(_xlfn.IFNA(ISNUMBER(SEARCH("Rending",$L150)),FALSE))), (7-(AP$24-$I150))/6, AND(AP$24-$I150 &gt;=7,NOT(_xlfn.IFNA(ISNUMBER(SEARCH("Rending",$L150)),FALSE))), 0, AP$24-$I150 =7, (7-(AP$24-1-$I150))/6, AP$24-$I150 =8, (7-(AP$24-2-$I150))/6*2/3, AP$24-$I150 =9, (7-(AP$24-3-$I150))/6*1/3, TRUE, 0) *
IF(ISNUMBER(SEARCH("Ordinance",$L150)),7/6,1) *
IF(OR(ISNUMBER(SEARCH("Melee",$L150)),ISNUMBER(SEARCH("Bypass",$L150))),1.5,1)</f>
        <v>0</v>
      </c>
      <c r="AQ150" s="17" cm="1">
        <f t="array" ref="AQ150">$H150 *
IF(ISNUMBER(SEARCH("Rapid",$L150)),7/6,1) *
IF(OR(ISNUMBER(SEARCH("Beam",$L150)),ISNUMBER(SEARCH("Firestorm",$L150))),1, IF(ISNUMBER(SEARCH("Blast",$L150)),(4+$G150+(2-$G150)*0.5)/6*2,(4+$G150)/6)) *
_xlfn.IFS(AQ$24-$I150 &lt;=1, 5/6, AQ$24-$I150 &lt;=5, (7-(AQ$24-$I150))/6, AND(AQ$24-$I150 =6,NOT(_xlfn.IFNA(ISNUMBER(SEARCH("Rending",$L150)),FALSE))), (7-(AQ$24-$I150))/6, AND(AQ$24-$I150 &gt;=7,NOT(_xlfn.IFNA(ISNUMBER(SEARCH("Rending",$L150)),FALSE))), 0, AQ$24-$I150 =7, (7-(AQ$24-1-$I150))/6, AQ$24-$I150 =8, (7-(AQ$24-2-$I150))/6*2/3, AQ$24-$I150 =9, (7-(AQ$24-3-$I150))/6*1/3, TRUE, 0) *
IF(ISNUMBER(SEARCH("Ordinance",$L150)),7/6,1) *
IF(OR(ISNUMBER(SEARCH("Melee",$L150)),ISNUMBER(SEARCH("Bypass",$L150))),1.5,1)</f>
        <v>0</v>
      </c>
      <c r="AS150" s="16">
        <f t="shared" si="38"/>
        <v>0.37037037037037041</v>
      </c>
      <c r="AT150" s="16">
        <f t="shared" si="39"/>
        <v>0.55555555555555558</v>
      </c>
      <c r="AU150" s="16">
        <f t="shared" si="40"/>
        <v>1.1250000000000002</v>
      </c>
      <c r="AV150" s="2">
        <v>12</v>
      </c>
    </row>
    <row r="151" spans="1:48" x14ac:dyDescent="0.3">
      <c r="A151" t="s">
        <v>588</v>
      </c>
      <c r="B151" s="3">
        <v>10</v>
      </c>
      <c r="C151" s="3">
        <v>20</v>
      </c>
      <c r="D151" s="3">
        <v>1</v>
      </c>
      <c r="E151" s="3">
        <v>1</v>
      </c>
      <c r="F151" s="10">
        <v>1</v>
      </c>
      <c r="G151" s="10"/>
      <c r="H151" s="3">
        <v>12</v>
      </c>
      <c r="I151" s="3">
        <v>4</v>
      </c>
      <c r="J151" s="3" t="s">
        <v>589</v>
      </c>
      <c r="K151" s="3">
        <v>40</v>
      </c>
      <c r="L151" s="3" t="s">
        <v>452</v>
      </c>
      <c r="M151" s="3" t="s">
        <v>199</v>
      </c>
      <c r="N151" s="3">
        <v>11</v>
      </c>
      <c r="O151" s="3">
        <v>11</v>
      </c>
      <c r="P151" s="3">
        <v>15</v>
      </c>
      <c r="Q151" s="3" t="s">
        <v>200</v>
      </c>
      <c r="R151" s="3">
        <v>7</v>
      </c>
      <c r="S151" s="3">
        <v>9</v>
      </c>
      <c r="T151" s="3">
        <v>3</v>
      </c>
      <c r="V151" s="16">
        <f t="shared" si="33"/>
        <v>3.8888888888888893</v>
      </c>
      <c r="W151" s="16">
        <f t="shared" si="34"/>
        <v>5.8333333333333339</v>
      </c>
      <c r="X151" s="17" cm="1">
        <f t="array" ref="X151">$H151 *
IF(ISNUMBER(SEARCH("Rapid",$L151)),7/6,1) *
IF(OR(ISNUMBER(SEARCH("Beam",$L151)),ISNUMBER(SEARCH("Firestorm",$L151))),1, IF(ISNUMBER(SEARCH("Blast",$L151)),(4+$F151+(2-$F151)*0.5)/6*2,(4+$F151)/6)) *
IF(ISNUMBER(SEARCH("Fusion",$L151)), _xlfn.IFS(X$24-$I151 &lt;=1, 9/10, X$24-$I151 &lt;=10,(11-(X$24-$I151))/10, X$24-$I151 &gt;=11, 0),
_xlfn.IFS(X$24-$I151 &lt;=1, 5/6, X$24-$I151 &lt;=5, (7-(X$24-$I151))/6, AND(X$24-$I151 =6,NOT(_xlfn.IFNA(ISNUMBER(SEARCH("Rending",$L151)),FALSE))), (7-(X$24-$I151))/6, AND(X$24-$I151 &gt;=7,NOT(_xlfn.IFNA(ISNUMBER(SEARCH("Rending",$L151)),FALSE))), 0, X$24-$I151 =7, (7-(X$24-1-$I151))/6, X$24-$I151 =8, (7-(X$24-2-$I151))/6*2/3, X$24-$I151 =9, (7-(X$24-3-$I151))/6*1/3, TRUE, 0)) *
IF(ISNUMBER(SEARCH("Ordinance",$L151)),7/6,1) *
IF(OR(ISNUMBER(SEARCH("Melee",$L151)),ISNUMBER(SEARCH("Bypass",$L151))),1.5,1)</f>
        <v>3.8888888888888893</v>
      </c>
      <c r="Y151" s="17" cm="1">
        <f t="array" ref="Y151">$H151 *
IF(ISNUMBER(SEARCH("Rapid",$L151)),7/6,1) *
IF(OR(ISNUMBER(SEARCH("Beam",$L151)),ISNUMBER(SEARCH("Firestorm",$L151))),1, IF(ISNUMBER(SEARCH("Blast",$L151)),(4+$F151+(2-$F151)*0.5)/6*2,(4+$F151)/6)) *
IF(ISNUMBER(SEARCH("Fusion",$L151)), _xlfn.IFS(Y$24-$I151 &lt;=1, 9/10, Y$24-$I151 &lt;=10,(11-(Y$24-$I151))/10, Y$24-$I151 &gt;=11, 0),
_xlfn.IFS(Y$24-$I151 &lt;=1, 5/6, Y$24-$I151 &lt;=5, (7-(Y$24-$I151))/6, AND(Y$24-$I151 =6,NOT(_xlfn.IFNA(ISNUMBER(SEARCH("Rending",$L151)),FALSE))), (7-(Y$24-$I151))/6, AND(Y$24-$I151 &gt;=7,NOT(_xlfn.IFNA(ISNUMBER(SEARCH("Rending",$L151)),FALSE))), 0, Y$24-$I151 =7, (7-(Y$24-1-$I151))/6, Y$24-$I151 =8, (7-(Y$24-2-$I151))/6*2/3, Y$24-$I151 =9, (7-(Y$24-3-$I151))/6*1/3, TRUE, 0)) *
IF(ISNUMBER(SEARCH("Ordinance",$L151)),7/6,1) *
IF(OR(ISNUMBER(SEARCH("Melee",$L151)),ISNUMBER(SEARCH("Bypass",$L151))),1.5,1)</f>
        <v>1.9444444444444446</v>
      </c>
      <c r="Z151" s="17" cm="1">
        <f t="array" ref="Z151">$H151 *
IF(ISNUMBER(SEARCH("Rapid",$L151)),7/6,1) *
IF(OR(ISNUMBER(SEARCH("Beam",$L151)),ISNUMBER(SEARCH("Firestorm",$L151))),1, IF(ISNUMBER(SEARCH("Blast",$L151)),(4+$F151+(2-$F151)*0.5)/6*2,(4+$F151)/6)) *
IF(ISNUMBER(SEARCH("Fusion",$L151)), _xlfn.IFS(Z$24-$I151 &lt;=1, 9/10, Z$24-$I151 &lt;=10,(11-(Z$24-$I151))/10, Z$24-$I151 &gt;=11, 0),
_xlfn.IFS(Z$24-$I151 &lt;=1, 5/6, Z$24-$I151 &lt;=5, (7-(Z$24-$I151))/6, AND(Z$24-$I151 =6,NOT(_xlfn.IFNA(ISNUMBER(SEARCH("Rending",$L151)),FALSE))), (7-(Z$24-$I151))/6, AND(Z$24-$I151 &gt;=7,NOT(_xlfn.IFNA(ISNUMBER(SEARCH("Rending",$L151)),FALSE))), 0, Z$24-$I151 =7, (7-(Z$24-1-$I151))/6, Z$24-$I151 =8, (7-(Z$24-2-$I151))/6*2/3, Z$24-$I151 =9, (7-(Z$24-3-$I151))/6*1/3, TRUE, 0)) *
IF(ISNUMBER(SEARCH("Ordinance",$L151)),7/6,1) *
IF(OR(ISNUMBER(SEARCH("Melee",$L151)),ISNUMBER(SEARCH("Bypass",$L151))),1.5,1)</f>
        <v>0</v>
      </c>
      <c r="AA151" s="17" cm="1">
        <f t="array" ref="AA151">$H151 *
IF(ISNUMBER(SEARCH("Rapid",$L151)),7/6,1) *
IF(OR(ISNUMBER(SEARCH("Beam",$L151)),ISNUMBER(SEARCH("Firestorm",$L151))),1, IF(ISNUMBER(SEARCH("Blast",$L151)),(4+$F151+(2-$F151)*0.5)/6*2,(4+$F151)/6)) *
IF(ISNUMBER(SEARCH("Fusion",$L151)), _xlfn.IFS(AA$24-$I151 &lt;=1, 9/10, AA$24-$I151 &lt;=10,(11-(AA$24-$I151))/10, AA$24-$I151 &gt;=11, 0),
_xlfn.IFS(AA$24-$I151 &lt;=1, 5/6, AA$24-$I151 &lt;=5, (7-(AA$24-$I151))/6, AND(AA$24-$I151 =6,NOT(_xlfn.IFNA(ISNUMBER(SEARCH("Rending",$L151)),FALSE))), (7-(AA$24-$I151))/6, AND(AA$24-$I151 &gt;=7,NOT(_xlfn.IFNA(ISNUMBER(SEARCH("Rending",$L151)),FALSE))), 0, AA$24-$I151 =7, (7-(AA$24-1-$I151))/6, AA$24-$I151 =8, (7-(AA$24-2-$I151))/6*2/3, AA$24-$I151 =9, (7-(AA$24-3-$I151))/6*1/3, TRUE, 0)) *
IF(ISNUMBER(SEARCH("Ordinance",$L151)),7/6,1) *
IF(OR(ISNUMBER(SEARCH("Melee",$L151)),ISNUMBER(SEARCH("Bypass",$L151))),1.5,1)</f>
        <v>0</v>
      </c>
      <c r="AB151" s="17" cm="1">
        <f t="array" ref="AB151">$H151 *
IF(ISNUMBER(SEARCH("Rapid",$L151)),7/6,1) *
IF(OR(ISNUMBER(SEARCH("Beam",$L151)),ISNUMBER(SEARCH("Firestorm",$L151))),1, IF(ISNUMBER(SEARCH("Blast",$L151)),(4+$F151+(2-$F151)*0.5)/6*2,(4+$F151)/6)) *
IF(ISNUMBER(SEARCH("Fusion",$L151)), _xlfn.IFS(AB$24-$I151 &lt;=1, 9/10, AB$24-$I151 &lt;=10,(11-(AB$24-$I151))/10, AB$24-$I151 &gt;=11, 0),
_xlfn.IFS(AB$24-$I151 &lt;=1, 5/6, AB$24-$I151 &lt;=5, (7-(AB$24-$I151))/6, AND(AB$24-$I151 =6,NOT(_xlfn.IFNA(ISNUMBER(SEARCH("Rending",$L151)),FALSE))), (7-(AB$24-$I151))/6, AND(AB$24-$I151 &gt;=7,NOT(_xlfn.IFNA(ISNUMBER(SEARCH("Rending",$L151)),FALSE))), 0, AB$24-$I151 =7, (7-(AB$24-1-$I151))/6, AB$24-$I151 =8, (7-(AB$24-2-$I151))/6*2/3, AB$24-$I151 =9, (7-(AB$24-3-$I151))/6*1/3, TRUE, 0)) *
IF(ISNUMBER(SEARCH("Ordinance",$L151)),7/6,1) *
IF(OR(ISNUMBER(SEARCH("Melee",$L151)),ISNUMBER(SEARCH("Bypass",$L151))),1.5,1)</f>
        <v>0</v>
      </c>
      <c r="AC151" s="17" cm="1">
        <f t="array" ref="AC151">$H151 *
IF(ISNUMBER(SEARCH("Rapid",$L151)),7/6,1) *
IF(OR(ISNUMBER(SEARCH("Beam",$L151)),ISNUMBER(SEARCH("Firestorm",$L151))),1, IF(ISNUMBER(SEARCH("Blast",$L151)),(4+$F151+(2-$F151)*0.5)/6*2,(4+$F151)/6)) *
IF(ISNUMBER(SEARCH("Fusion",$L151)), _xlfn.IFS(AC$24-$I151 &lt;=1, 9/10, AC$24-$I151 &lt;=10,(11-(AC$24-$I151))/10, AC$24-$I151 &gt;=11, 0),
_xlfn.IFS(AC$24-$I151 &lt;=1, 5/6, AC$24-$I151 &lt;=5, (7-(AC$24-$I151))/6, AND(AC$24-$I151 =6,NOT(_xlfn.IFNA(ISNUMBER(SEARCH("Rending",$L151)),FALSE))), (7-(AC$24-$I151))/6, AND(AC$24-$I151 &gt;=7,NOT(_xlfn.IFNA(ISNUMBER(SEARCH("Rending",$L151)),FALSE))), 0, AC$24-$I151 =7, (7-(AC$24-1-$I151))/6, AC$24-$I151 =8, (7-(AC$24-2-$I151))/6*2/3, AC$24-$I151 =9, (7-(AC$24-3-$I151))/6*1/3, TRUE, 0)) *
IF(ISNUMBER(SEARCH("Ordinance",$L151)),7/6,1) *
IF(OR(ISNUMBER(SEARCH("Melee",$L151)),ISNUMBER(SEARCH("Bypass",$L151))),1.5,1)</f>
        <v>0</v>
      </c>
      <c r="AD151" s="17" cm="1">
        <f t="array" ref="AD151">$H151 *
IF(ISNUMBER(SEARCH("Rapid",$L151)),7/6,1) *
IF(OR(ISNUMBER(SEARCH("Beam",$L151)),ISNUMBER(SEARCH("Firestorm",$L151))),1, IF(ISNUMBER(SEARCH("Blast",$L151)),(4+$F151+(2-$F151)*0.5)/6*2,(4+$F151)/6)) *
IF(ISNUMBER(SEARCH("Fusion",$L151)), _xlfn.IFS(AD$24-$I151 &lt;=1, 9/10, AD$24-$I151 &lt;=10,(11-(AD$24-$I151))/10, AD$24-$I151 &gt;=11, 0),
_xlfn.IFS(AD$24-$I151 &lt;=1, 5/6, AD$24-$I151 &lt;=5, (7-(AD$24-$I151))/6, AND(AD$24-$I151 =6,NOT(_xlfn.IFNA(ISNUMBER(SEARCH("Rending",$L151)),FALSE))), (7-(AD$24-$I151))/6, AND(AD$24-$I151 &gt;=7,NOT(_xlfn.IFNA(ISNUMBER(SEARCH("Rending",$L151)),FALSE))), 0, AD$24-$I151 =7, (7-(AD$24-1-$I151))/6, AD$24-$I151 =8, (7-(AD$24-2-$I151))/6*2/3, AD$24-$I151 =9, (7-(AD$24-3-$I151))/6*1/3, TRUE, 0)) *
IF(ISNUMBER(SEARCH("Ordinance",$L151)),7/6,1) *
IF(OR(ISNUMBER(SEARCH("Melee",$L151)),ISNUMBER(SEARCH("Bypass",$L151))),1.5,1)</f>
        <v>0</v>
      </c>
      <c r="AE151" s="17" cm="1">
        <f t="array" ref="AE151">$H151 *
IF(ISNUMBER(SEARCH("Rapid",$L151)),7/6,1) *
IF(OR(ISNUMBER(SEARCH("Beam",$L151)),ISNUMBER(SEARCH("Firestorm",$L151))),1, IF(ISNUMBER(SEARCH("Blast",$L151)),(4+$F151+(2-$F151)*0.5)/6*2,(4+$F151)/6)) *
IF(ISNUMBER(SEARCH("Fusion",$L151)), _xlfn.IFS(AE$24-$I151 &lt;=1, 9/10, AE$24-$I151 &lt;=10,(11-(AE$24-$I151))/10, AE$24-$I151 &gt;=11, 0),
_xlfn.IFS(AE$24-$I151 &lt;=1, 5/6, AE$24-$I151 &lt;=5, (7-(AE$24-$I151))/6, AND(AE$24-$I151 =6,NOT(_xlfn.IFNA(ISNUMBER(SEARCH("Rending",$L151)),FALSE))), (7-(AE$24-$I151))/6, AND(AE$24-$I151 &gt;=7,NOT(_xlfn.IFNA(ISNUMBER(SEARCH("Rending",$L151)),FALSE))), 0, AE$24-$I151 =7, (7-(AE$24-1-$I151))/6, AE$24-$I151 =8, (7-(AE$24-2-$I151))/6*2/3, AE$24-$I151 =9, (7-(AE$24-3-$I151))/6*1/3, TRUE, 0)) *
IF(ISNUMBER(SEARCH("Ordinance",$L151)),7/6,1) *
IF(OR(ISNUMBER(SEARCH("Melee",$L151)),ISNUMBER(SEARCH("Bypass",$L151))),1.5,1)</f>
        <v>0</v>
      </c>
      <c r="AF151" s="17" cm="1">
        <f t="array" ref="AF151">$H151 *
IF(ISNUMBER(SEARCH("Rapid",$L151)),7/6,1) *
IF(OR(ISNUMBER(SEARCH("Beam",$L151)),ISNUMBER(SEARCH("Firestorm",$L151))),1, IF(ISNUMBER(SEARCH("Blast",$L151)),(4+$F151+(2-$F151)*0.5)/6*2,(4+$F151)/6)) *
IF(ISNUMBER(SEARCH("Fusion",$L151)), _xlfn.IFS(AF$24-$I151 &lt;=1, 9/10, AF$24-$I151 &lt;=10,(11-(AF$24-$I151))/10, AF$24-$I151 &gt;=11, 0),
_xlfn.IFS(AF$24-$I151 &lt;=1, 5/6, AF$24-$I151 &lt;=5, (7-(AF$24-$I151))/6, AND(AF$24-$I151 =6,NOT(_xlfn.IFNA(ISNUMBER(SEARCH("Rending",$L151)),FALSE))), (7-(AF$24-$I151))/6, AND(AF$24-$I151 &gt;=7,NOT(_xlfn.IFNA(ISNUMBER(SEARCH("Rending",$L151)),FALSE))), 0, AF$24-$I151 =7, (7-(AF$24-1-$I151))/6, AF$24-$I151 =8, (7-(AF$24-2-$I151))/6*2/3, AF$24-$I151 =9, (7-(AF$24-3-$I151))/6*1/3, TRUE, 0)) *
IF(ISNUMBER(SEARCH("Ordinance",$L151)),7/6,1) *
IF(OR(ISNUMBER(SEARCH("Melee",$L151)),ISNUMBER(SEARCH("Bypass",$L151))),1.5,1)</f>
        <v>0</v>
      </c>
      <c r="AG151" s="16">
        <f t="shared" si="35"/>
        <v>3.1111111111111107</v>
      </c>
      <c r="AH151" s="16">
        <f t="shared" si="36"/>
        <v>4.6666666666666661</v>
      </c>
      <c r="AI151" s="17" cm="1">
        <f t="array" ref="AI151">$H151 *
IF(ISNUMBER(SEARCH("Rapid",$L151)),7/6,1) *
IF(OR(ISNUMBER(SEARCH("Beam",$L151)),ISNUMBER(SEARCH("Firestorm",$L151))),1, IF(ISNUMBER(SEARCH("Blast",$L151)),(4+$G151+(2-$G151)*0.5)/6*2,(4+$G151)/6)) *
_xlfn.IFS(AI$24-$I151 &lt;=1, 5/6, AI$24-$I151 &lt;=5, (7-(AI$24-$I151))/6, AND(AI$24-$I151 =6,NOT(_xlfn.IFNA(ISNUMBER(SEARCH("Rending",$L151)),FALSE))), (7-(AI$24-$I151))/6, AND(AI$24-$I151 &gt;=7,NOT(_xlfn.IFNA(ISNUMBER(SEARCH("Rending",$L151)),FALSE))), 0, AI$24-$I151 =7, (7-(AI$24-1-$I151))/6, AI$24-$I151 =8, (7-(AI$24-2-$I151))/6*2/3, AI$24-$I151 =9, (7-(AI$24-3-$I151))/6*1/3, TRUE, 0) *
IF(ISNUMBER(SEARCH("Ordinance",$L151)),7/6,1) *
IF(OR(ISNUMBER(SEARCH("Melee",$L151)),ISNUMBER(SEARCH("Bypass",$L151))),1.5,1)</f>
        <v>3.1111111111111107</v>
      </c>
      <c r="AJ151" s="17" cm="1">
        <f t="array" ref="AJ151">$H151 *
IF(ISNUMBER(SEARCH("Rapid",$L151)),7/6,1) *
IF(OR(ISNUMBER(SEARCH("Beam",$L151)),ISNUMBER(SEARCH("Firestorm",$L151))),1, IF(ISNUMBER(SEARCH("Blast",$L151)),(4+$G151+(2-$G151)*0.5)/6*2,(4+$G151)/6)) *
_xlfn.IFS(AJ$24-$I151 &lt;=1, 5/6, AJ$24-$I151 &lt;=5, (7-(AJ$24-$I151))/6, AND(AJ$24-$I151 =6,NOT(_xlfn.IFNA(ISNUMBER(SEARCH("Rending",$L151)),FALSE))), (7-(AJ$24-$I151))/6, AND(AJ$24-$I151 &gt;=7,NOT(_xlfn.IFNA(ISNUMBER(SEARCH("Rending",$L151)),FALSE))), 0, AJ$24-$I151 =7, (7-(AJ$24-1-$I151))/6, AJ$24-$I151 =8, (7-(AJ$24-2-$I151))/6*2/3, AJ$24-$I151 =9, (7-(AJ$24-3-$I151))/6*1/3, TRUE, 0) *
IF(ISNUMBER(SEARCH("Ordinance",$L151)),7/6,1) *
IF(OR(ISNUMBER(SEARCH("Melee",$L151)),ISNUMBER(SEARCH("Bypass",$L151))),1.5,1)</f>
        <v>1.5555555555555554</v>
      </c>
      <c r="AK151" s="17" cm="1">
        <f t="array" ref="AK151">$H151 *
IF(ISNUMBER(SEARCH("Rapid",$L151)),7/6,1) *
IF(OR(ISNUMBER(SEARCH("Beam",$L151)),ISNUMBER(SEARCH("Firestorm",$L151))),1, IF(ISNUMBER(SEARCH("Blast",$L151)),(4+$G151+(2-$G151)*0.5)/6*2,(4+$G151)/6)) *
_xlfn.IFS(AK$24-$I151 &lt;=1, 5/6, AK$24-$I151 &lt;=5, (7-(AK$24-$I151))/6, AND(AK$24-$I151 =6,NOT(_xlfn.IFNA(ISNUMBER(SEARCH("Rending",$L151)),FALSE))), (7-(AK$24-$I151))/6, AND(AK$24-$I151 &gt;=7,NOT(_xlfn.IFNA(ISNUMBER(SEARCH("Rending",$L151)),FALSE))), 0, AK$24-$I151 =7, (7-(AK$24-1-$I151))/6, AK$24-$I151 =8, (7-(AK$24-2-$I151))/6*2/3, AK$24-$I151 =9, (7-(AK$24-3-$I151))/6*1/3, TRUE, 0) *
IF(ISNUMBER(SEARCH("Ordinance",$L151)),7/6,1) *
IF(OR(ISNUMBER(SEARCH("Melee",$L151)),ISNUMBER(SEARCH("Bypass",$L151))),1.5,1)</f>
        <v>0</v>
      </c>
      <c r="AL151" s="17" cm="1">
        <f t="array" ref="AL151">$H151 *
IF(ISNUMBER(SEARCH("Rapid",$L151)),7/6,1) *
IF(OR(ISNUMBER(SEARCH("Beam",$L151)),ISNUMBER(SEARCH("Firestorm",$L151))),1, IF(ISNUMBER(SEARCH("Blast",$L151)),(4+$G151+(2-$G151)*0.5)/6*2,(4+$G151)/6)) *
_xlfn.IFS(AL$24-$I151 &lt;=1, 5/6, AL$24-$I151 &lt;=5, (7-(AL$24-$I151))/6, AND(AL$24-$I151 =6,NOT(_xlfn.IFNA(ISNUMBER(SEARCH("Rending",$L151)),FALSE))), (7-(AL$24-$I151))/6, AND(AL$24-$I151 &gt;=7,NOT(_xlfn.IFNA(ISNUMBER(SEARCH("Rending",$L151)),FALSE))), 0, AL$24-$I151 =7, (7-(AL$24-1-$I151))/6, AL$24-$I151 =8, (7-(AL$24-2-$I151))/6*2/3, AL$24-$I151 =9, (7-(AL$24-3-$I151))/6*1/3, TRUE, 0) *
IF(ISNUMBER(SEARCH("Ordinance",$L151)),7/6,1) *
IF(OR(ISNUMBER(SEARCH("Melee",$L151)),ISNUMBER(SEARCH("Bypass",$L151))),1.5,1)</f>
        <v>0</v>
      </c>
      <c r="AM151" s="17" cm="1">
        <f t="array" ref="AM151">$H151 *
IF(ISNUMBER(SEARCH("Rapid",$L151)),7/6,1) *
IF(OR(ISNUMBER(SEARCH("Beam",$L151)),ISNUMBER(SEARCH("Firestorm",$L151))),1, IF(ISNUMBER(SEARCH("Blast",$L151)),(4+$G151+(2-$G151)*0.5)/6*2,(4+$G151)/6)) *
_xlfn.IFS(AM$24-$I151 &lt;=1, 5/6, AM$24-$I151 &lt;=5, (7-(AM$24-$I151))/6, AND(AM$24-$I151 =6,NOT(_xlfn.IFNA(ISNUMBER(SEARCH("Rending",$L151)),FALSE))), (7-(AM$24-$I151))/6, AND(AM$24-$I151 &gt;=7,NOT(_xlfn.IFNA(ISNUMBER(SEARCH("Rending",$L151)),FALSE))), 0, AM$24-$I151 =7, (7-(AM$24-1-$I151))/6, AM$24-$I151 =8, (7-(AM$24-2-$I151))/6*2/3, AM$24-$I151 =9, (7-(AM$24-3-$I151))/6*1/3, TRUE, 0) *
IF(ISNUMBER(SEARCH("Ordinance",$L151)),7/6,1) *
IF(OR(ISNUMBER(SEARCH("Melee",$L151)),ISNUMBER(SEARCH("Bypass",$L151))),1.5,1)</f>
        <v>0</v>
      </c>
      <c r="AN151" s="17" cm="1">
        <f t="array" ref="AN151">$H151 *
IF(ISNUMBER(SEARCH("Rapid",$L151)),7/6,1) *
IF(OR(ISNUMBER(SEARCH("Beam",$L151)),ISNUMBER(SEARCH("Firestorm",$L151))),1, IF(ISNUMBER(SEARCH("Blast",$L151)),(4+$G151+(2-$G151)*0.5)/6*2,(4+$G151)/6)) *
_xlfn.IFS(AN$24-$I151 &lt;=1, 5/6, AN$24-$I151 &lt;=5, (7-(AN$24-$I151))/6, AND(AN$24-$I151 =6,NOT(_xlfn.IFNA(ISNUMBER(SEARCH("Rending",$L151)),FALSE))), (7-(AN$24-$I151))/6, AND(AN$24-$I151 &gt;=7,NOT(_xlfn.IFNA(ISNUMBER(SEARCH("Rending",$L151)),FALSE))), 0, AN$24-$I151 =7, (7-(AN$24-1-$I151))/6, AN$24-$I151 =8, (7-(AN$24-2-$I151))/6*2/3, AN$24-$I151 =9, (7-(AN$24-3-$I151))/6*1/3, TRUE, 0) *
IF(ISNUMBER(SEARCH("Ordinance",$L151)),7/6,1) *
IF(OR(ISNUMBER(SEARCH("Melee",$L151)),ISNUMBER(SEARCH("Bypass",$L151))),1.5,1)</f>
        <v>0</v>
      </c>
      <c r="AO151" s="17" cm="1">
        <f t="array" ref="AO151">$H151 *
IF(ISNUMBER(SEARCH("Rapid",$L151)),7/6,1) *
IF(OR(ISNUMBER(SEARCH("Beam",$L151)),ISNUMBER(SEARCH("Firestorm",$L151))),1, IF(ISNUMBER(SEARCH("Blast",$L151)),(4+$G151+(2-$G151)*0.5)/6*2,(4+$G151)/6)) *
_xlfn.IFS(AO$24-$I151 &lt;=1, 5/6, AO$24-$I151 &lt;=5, (7-(AO$24-$I151))/6, AND(AO$24-$I151 =6,NOT(_xlfn.IFNA(ISNUMBER(SEARCH("Rending",$L151)),FALSE))), (7-(AO$24-$I151))/6, AND(AO$24-$I151 &gt;=7,NOT(_xlfn.IFNA(ISNUMBER(SEARCH("Rending",$L151)),FALSE))), 0, AO$24-$I151 =7, (7-(AO$24-1-$I151))/6, AO$24-$I151 =8, (7-(AO$24-2-$I151))/6*2/3, AO$24-$I151 =9, (7-(AO$24-3-$I151))/6*1/3, TRUE, 0) *
IF(ISNUMBER(SEARCH("Ordinance",$L151)),7/6,1) *
IF(OR(ISNUMBER(SEARCH("Melee",$L151)),ISNUMBER(SEARCH("Bypass",$L151))),1.5,1)</f>
        <v>0</v>
      </c>
      <c r="AP151" s="17" cm="1">
        <f t="array" ref="AP151">$H151 *
IF(ISNUMBER(SEARCH("Rapid",$L151)),7/6,1) *
IF(OR(ISNUMBER(SEARCH("Beam",$L151)),ISNUMBER(SEARCH("Firestorm",$L151))),1, IF(ISNUMBER(SEARCH("Blast",$L151)),(4+$G151+(2-$G151)*0.5)/6*2,(4+$G151)/6)) *
_xlfn.IFS(AP$24-$I151 &lt;=1, 5/6, AP$24-$I151 &lt;=5, (7-(AP$24-$I151))/6, AND(AP$24-$I151 =6,NOT(_xlfn.IFNA(ISNUMBER(SEARCH("Rending",$L151)),FALSE))), (7-(AP$24-$I151))/6, AND(AP$24-$I151 &gt;=7,NOT(_xlfn.IFNA(ISNUMBER(SEARCH("Rending",$L151)),FALSE))), 0, AP$24-$I151 =7, (7-(AP$24-1-$I151))/6, AP$24-$I151 =8, (7-(AP$24-2-$I151))/6*2/3, AP$24-$I151 =9, (7-(AP$24-3-$I151))/6*1/3, TRUE, 0) *
IF(ISNUMBER(SEARCH("Ordinance",$L151)),7/6,1) *
IF(OR(ISNUMBER(SEARCH("Melee",$L151)),ISNUMBER(SEARCH("Bypass",$L151))),1.5,1)</f>
        <v>0</v>
      </c>
      <c r="AQ151" s="17" cm="1">
        <f t="array" ref="AQ151">$H151 *
IF(ISNUMBER(SEARCH("Rapid",$L151)),7/6,1) *
IF(OR(ISNUMBER(SEARCH("Beam",$L151)),ISNUMBER(SEARCH("Firestorm",$L151))),1, IF(ISNUMBER(SEARCH("Blast",$L151)),(4+$G151+(2-$G151)*0.5)/6*2,(4+$G151)/6)) *
_xlfn.IFS(AQ$24-$I151 &lt;=1, 5/6, AQ$24-$I151 &lt;=5, (7-(AQ$24-$I151))/6, AND(AQ$24-$I151 =6,NOT(_xlfn.IFNA(ISNUMBER(SEARCH("Rending",$L151)),FALSE))), (7-(AQ$24-$I151))/6, AND(AQ$24-$I151 &gt;=7,NOT(_xlfn.IFNA(ISNUMBER(SEARCH("Rending",$L151)),FALSE))), 0, AQ$24-$I151 =7, (7-(AQ$24-1-$I151))/6, AQ$24-$I151 =8, (7-(AQ$24-2-$I151))/6*2/3, AQ$24-$I151 =9, (7-(AQ$24-3-$I151))/6*1/3, TRUE, 0) *
IF(ISNUMBER(SEARCH("Ordinance",$L151)),7/6,1) *
IF(OR(ISNUMBER(SEARCH("Melee",$L151)),ISNUMBER(SEARCH("Bypass",$L151))),1.5,1)</f>
        <v>0</v>
      </c>
      <c r="AS151" s="16">
        <f t="shared" si="38"/>
        <v>3.1111111111111107</v>
      </c>
      <c r="AT151" s="16">
        <f t="shared" si="39"/>
        <v>4.6666666666666661</v>
      </c>
      <c r="AU151" s="16">
        <f t="shared" si="40"/>
        <v>1.7888888888888888</v>
      </c>
      <c r="AV151" s="2">
        <v>12</v>
      </c>
    </row>
    <row r="152" spans="1:48" x14ac:dyDescent="0.3">
      <c r="A152" t="s">
        <v>595</v>
      </c>
      <c r="B152" s="3">
        <v>24</v>
      </c>
      <c r="C152" s="3">
        <v>72</v>
      </c>
      <c r="D152" s="3">
        <v>1</v>
      </c>
      <c r="E152" s="3">
        <v>2</v>
      </c>
      <c r="F152" s="10">
        <v>-1</v>
      </c>
      <c r="G152" s="10">
        <v>0</v>
      </c>
      <c r="H152" s="3">
        <v>5</v>
      </c>
      <c r="I152" s="3">
        <v>9</v>
      </c>
      <c r="J152" s="3" t="s">
        <v>592</v>
      </c>
      <c r="K152" s="3">
        <v>185</v>
      </c>
      <c r="L152" s="3" t="s">
        <v>253</v>
      </c>
      <c r="M152" s="3" t="s">
        <v>199</v>
      </c>
      <c r="N152" s="3">
        <v>11</v>
      </c>
      <c r="O152" s="3">
        <v>11</v>
      </c>
      <c r="P152" s="3">
        <v>15</v>
      </c>
      <c r="Q152" s="3" t="s">
        <v>200</v>
      </c>
      <c r="R152" s="3">
        <v>7</v>
      </c>
      <c r="S152" s="3">
        <v>9</v>
      </c>
      <c r="T152" s="3">
        <v>3</v>
      </c>
      <c r="V152" s="16">
        <f t="shared" si="33"/>
        <v>2.5</v>
      </c>
      <c r="W152" s="16">
        <f t="shared" si="34"/>
        <v>3.75</v>
      </c>
      <c r="X152" s="17" cm="1">
        <f t="array" ref="X152">$H152 *
IF(ISNUMBER(SEARCH("Rapid",$L152)),7/6,1) *
IF(OR(ISNUMBER(SEARCH("Beam",$L152)),ISNUMBER(SEARCH("Firestorm",$L152))),1, IF(ISNUMBER(SEARCH("Blast",$L152)),(4+$F152+(2-$F152)*0.5)/6*2,(4+$F152)/6)) *
IF(ISNUMBER(SEARCH("Fusion",$L152)), _xlfn.IFS(X$24-$I152 &lt;=1, 9/10, X$24-$I152 &lt;=10,(11-(X$24-$I152))/10, X$24-$I152 &gt;=11, 0),
_xlfn.IFS(X$24-$I152 &lt;=1, 5/6, X$24-$I152 &lt;=5, (7-(X$24-$I152))/6, AND(X$24-$I152 =6,NOT(_xlfn.IFNA(ISNUMBER(SEARCH("Rending",$L152)),FALSE))), (7-(X$24-$I152))/6, AND(X$24-$I152 &gt;=7,NOT(_xlfn.IFNA(ISNUMBER(SEARCH("Rending",$L152)),FALSE))), 0, X$24-$I152 =7, (7-(X$24-1-$I152))/6, X$24-$I152 =8, (7-(X$24-2-$I152))/6*2/3, X$24-$I152 =9, (7-(X$24-3-$I152))/6*1/3, TRUE, 0)) *
IF(ISNUMBER(SEARCH("Ordinance",$L152)),7/6,1) *
IF(OR(ISNUMBER(SEARCH("Melee",$L152)),ISNUMBER(SEARCH("Bypass",$L152))),1.5,1)</f>
        <v>6.25</v>
      </c>
      <c r="Y152" s="17" cm="1">
        <f t="array" ref="Y152">$H152 *
IF(ISNUMBER(SEARCH("Rapid",$L152)),7/6,1) *
IF(OR(ISNUMBER(SEARCH("Beam",$L152)),ISNUMBER(SEARCH("Firestorm",$L152))),1, IF(ISNUMBER(SEARCH("Blast",$L152)),(4+$F152+(2-$F152)*0.5)/6*2,(4+$F152)/6)) *
IF(ISNUMBER(SEARCH("Fusion",$L152)), _xlfn.IFS(Y$24-$I152 &lt;=1, 9/10, Y$24-$I152 &lt;=10,(11-(Y$24-$I152))/10, Y$24-$I152 &gt;=11, 0),
_xlfn.IFS(Y$24-$I152 &lt;=1, 5/6, Y$24-$I152 &lt;=5, (7-(Y$24-$I152))/6, AND(Y$24-$I152 =6,NOT(_xlfn.IFNA(ISNUMBER(SEARCH("Rending",$L152)),FALSE))), (7-(Y$24-$I152))/6, AND(Y$24-$I152 &gt;=7,NOT(_xlfn.IFNA(ISNUMBER(SEARCH("Rending",$L152)),FALSE))), 0, Y$24-$I152 =7, (7-(Y$24-1-$I152))/6, Y$24-$I152 =8, (7-(Y$24-2-$I152))/6*2/3, Y$24-$I152 =9, (7-(Y$24-3-$I152))/6*1/3, TRUE, 0)) *
IF(ISNUMBER(SEARCH("Ordinance",$L152)),7/6,1) *
IF(OR(ISNUMBER(SEARCH("Melee",$L152)),ISNUMBER(SEARCH("Bypass",$L152))),1.5,1)</f>
        <v>6.25</v>
      </c>
      <c r="Z152" s="17" cm="1">
        <f t="array" ref="Z152">$H152 *
IF(ISNUMBER(SEARCH("Rapid",$L152)),7/6,1) *
IF(OR(ISNUMBER(SEARCH("Beam",$L152)),ISNUMBER(SEARCH("Firestorm",$L152))),1, IF(ISNUMBER(SEARCH("Blast",$L152)),(4+$F152+(2-$F152)*0.5)/6*2,(4+$F152)/6)) *
IF(ISNUMBER(SEARCH("Fusion",$L152)), _xlfn.IFS(Z$24-$I152 &lt;=1, 9/10, Z$24-$I152 &lt;=10,(11-(Z$24-$I152))/10, Z$24-$I152 &gt;=11, 0),
_xlfn.IFS(Z$24-$I152 &lt;=1, 5/6, Z$24-$I152 &lt;=5, (7-(Z$24-$I152))/6, AND(Z$24-$I152 =6,NOT(_xlfn.IFNA(ISNUMBER(SEARCH("Rending",$L152)),FALSE))), (7-(Z$24-$I152))/6, AND(Z$24-$I152 &gt;=7,NOT(_xlfn.IFNA(ISNUMBER(SEARCH("Rending",$L152)),FALSE))), 0, Z$24-$I152 =7, (7-(Z$24-1-$I152))/6, Z$24-$I152 =8, (7-(Z$24-2-$I152))/6*2/3, Z$24-$I152 =9, (7-(Z$24-3-$I152))/6*1/3, TRUE, 0)) *
IF(ISNUMBER(SEARCH("Ordinance",$L152)),7/6,1) *
IF(OR(ISNUMBER(SEARCH("Melee",$L152)),ISNUMBER(SEARCH("Bypass",$L152))),1.5,1)</f>
        <v>6.25</v>
      </c>
      <c r="AA152" s="17" cm="1">
        <f t="array" ref="AA152">$H152 *
IF(ISNUMBER(SEARCH("Rapid",$L152)),7/6,1) *
IF(OR(ISNUMBER(SEARCH("Beam",$L152)),ISNUMBER(SEARCH("Firestorm",$L152))),1, IF(ISNUMBER(SEARCH("Blast",$L152)),(4+$F152+(2-$F152)*0.5)/6*2,(4+$F152)/6)) *
IF(ISNUMBER(SEARCH("Fusion",$L152)), _xlfn.IFS(AA$24-$I152 &lt;=1, 9/10, AA$24-$I152 &lt;=10,(11-(AA$24-$I152))/10, AA$24-$I152 &gt;=11, 0),
_xlfn.IFS(AA$24-$I152 &lt;=1, 5/6, AA$24-$I152 &lt;=5, (7-(AA$24-$I152))/6, AND(AA$24-$I152 =6,NOT(_xlfn.IFNA(ISNUMBER(SEARCH("Rending",$L152)),FALSE))), (7-(AA$24-$I152))/6, AND(AA$24-$I152 &gt;=7,NOT(_xlfn.IFNA(ISNUMBER(SEARCH("Rending",$L152)),FALSE))), 0, AA$24-$I152 =7, (7-(AA$24-1-$I152))/6, AA$24-$I152 =8, (7-(AA$24-2-$I152))/6*2/3, AA$24-$I152 =9, (7-(AA$24-3-$I152))/6*1/3, TRUE, 0)) *
IF(ISNUMBER(SEARCH("Ordinance",$L152)),7/6,1) *
IF(OR(ISNUMBER(SEARCH("Melee",$L152)),ISNUMBER(SEARCH("Bypass",$L152))),1.5,1)</f>
        <v>5</v>
      </c>
      <c r="AB152" s="17" cm="1">
        <f t="array" ref="AB152">$H152 *
IF(ISNUMBER(SEARCH("Rapid",$L152)),7/6,1) *
IF(OR(ISNUMBER(SEARCH("Beam",$L152)),ISNUMBER(SEARCH("Firestorm",$L152))),1, IF(ISNUMBER(SEARCH("Blast",$L152)),(4+$F152+(2-$F152)*0.5)/6*2,(4+$F152)/6)) *
IF(ISNUMBER(SEARCH("Fusion",$L152)), _xlfn.IFS(AB$24-$I152 &lt;=1, 9/10, AB$24-$I152 &lt;=10,(11-(AB$24-$I152))/10, AB$24-$I152 &gt;=11, 0),
_xlfn.IFS(AB$24-$I152 &lt;=1, 5/6, AB$24-$I152 &lt;=5, (7-(AB$24-$I152))/6, AND(AB$24-$I152 =6,NOT(_xlfn.IFNA(ISNUMBER(SEARCH("Rending",$L152)),FALSE))), (7-(AB$24-$I152))/6, AND(AB$24-$I152 &gt;=7,NOT(_xlfn.IFNA(ISNUMBER(SEARCH("Rending",$L152)),FALSE))), 0, AB$24-$I152 =7, (7-(AB$24-1-$I152))/6, AB$24-$I152 =8, (7-(AB$24-2-$I152))/6*2/3, AB$24-$I152 =9, (7-(AB$24-3-$I152))/6*1/3, TRUE, 0)) *
IF(ISNUMBER(SEARCH("Ordinance",$L152)),7/6,1) *
IF(OR(ISNUMBER(SEARCH("Melee",$L152)),ISNUMBER(SEARCH("Bypass",$L152))),1.5,1)</f>
        <v>3.75</v>
      </c>
      <c r="AC152" s="17" cm="1">
        <f t="array" ref="AC152">$H152 *
IF(ISNUMBER(SEARCH("Rapid",$L152)),7/6,1) *
IF(OR(ISNUMBER(SEARCH("Beam",$L152)),ISNUMBER(SEARCH("Firestorm",$L152))),1, IF(ISNUMBER(SEARCH("Blast",$L152)),(4+$F152+(2-$F152)*0.5)/6*2,(4+$F152)/6)) *
IF(ISNUMBER(SEARCH("Fusion",$L152)), _xlfn.IFS(AC$24-$I152 &lt;=1, 9/10, AC$24-$I152 &lt;=10,(11-(AC$24-$I152))/10, AC$24-$I152 &gt;=11, 0),
_xlfn.IFS(AC$24-$I152 &lt;=1, 5/6, AC$24-$I152 &lt;=5, (7-(AC$24-$I152))/6, AND(AC$24-$I152 =6,NOT(_xlfn.IFNA(ISNUMBER(SEARCH("Rending",$L152)),FALSE))), (7-(AC$24-$I152))/6, AND(AC$24-$I152 &gt;=7,NOT(_xlfn.IFNA(ISNUMBER(SEARCH("Rending",$L152)),FALSE))), 0, AC$24-$I152 =7, (7-(AC$24-1-$I152))/6, AC$24-$I152 =8, (7-(AC$24-2-$I152))/6*2/3, AC$24-$I152 =9, (7-(AC$24-3-$I152))/6*1/3, TRUE, 0)) *
IF(ISNUMBER(SEARCH("Ordinance",$L152)),7/6,1) *
IF(OR(ISNUMBER(SEARCH("Melee",$L152)),ISNUMBER(SEARCH("Bypass",$L152))),1.5,1)</f>
        <v>2.5</v>
      </c>
      <c r="AD152" s="17" cm="1">
        <f t="array" ref="AD152">$H152 *
IF(ISNUMBER(SEARCH("Rapid",$L152)),7/6,1) *
IF(OR(ISNUMBER(SEARCH("Beam",$L152)),ISNUMBER(SEARCH("Firestorm",$L152))),1, IF(ISNUMBER(SEARCH("Blast",$L152)),(4+$F152+(2-$F152)*0.5)/6*2,(4+$F152)/6)) *
IF(ISNUMBER(SEARCH("Fusion",$L152)), _xlfn.IFS(AD$24-$I152 &lt;=1, 9/10, AD$24-$I152 &lt;=10,(11-(AD$24-$I152))/10, AD$24-$I152 &gt;=11, 0),
_xlfn.IFS(AD$24-$I152 &lt;=1, 5/6, AD$24-$I152 &lt;=5, (7-(AD$24-$I152))/6, AND(AD$24-$I152 =6,NOT(_xlfn.IFNA(ISNUMBER(SEARCH("Rending",$L152)),FALSE))), (7-(AD$24-$I152))/6, AND(AD$24-$I152 &gt;=7,NOT(_xlfn.IFNA(ISNUMBER(SEARCH("Rending",$L152)),FALSE))), 0, AD$24-$I152 =7, (7-(AD$24-1-$I152))/6, AD$24-$I152 =8, (7-(AD$24-2-$I152))/6*2/3, AD$24-$I152 =9, (7-(AD$24-3-$I152))/6*1/3, TRUE, 0)) *
IF(ISNUMBER(SEARCH("Ordinance",$L152)),7/6,1) *
IF(OR(ISNUMBER(SEARCH("Melee",$L152)),ISNUMBER(SEARCH("Bypass",$L152))),1.5,1)</f>
        <v>1.25</v>
      </c>
      <c r="AE152" s="17" cm="1">
        <f t="array" ref="AE152">$H152 *
IF(ISNUMBER(SEARCH("Rapid",$L152)),7/6,1) *
IF(OR(ISNUMBER(SEARCH("Beam",$L152)),ISNUMBER(SEARCH("Firestorm",$L152))),1, IF(ISNUMBER(SEARCH("Blast",$L152)),(4+$F152+(2-$F152)*0.5)/6*2,(4+$F152)/6)) *
IF(ISNUMBER(SEARCH("Fusion",$L152)), _xlfn.IFS(AE$24-$I152 &lt;=1, 9/10, AE$24-$I152 &lt;=10,(11-(AE$24-$I152))/10, AE$24-$I152 &gt;=11, 0),
_xlfn.IFS(AE$24-$I152 &lt;=1, 5/6, AE$24-$I152 &lt;=5, (7-(AE$24-$I152))/6, AND(AE$24-$I152 =6,NOT(_xlfn.IFNA(ISNUMBER(SEARCH("Rending",$L152)),FALSE))), (7-(AE$24-$I152))/6, AND(AE$24-$I152 &gt;=7,NOT(_xlfn.IFNA(ISNUMBER(SEARCH("Rending",$L152)),FALSE))), 0, AE$24-$I152 =7, (7-(AE$24-1-$I152))/6, AE$24-$I152 =8, (7-(AE$24-2-$I152))/6*2/3, AE$24-$I152 =9, (7-(AE$24-3-$I152))/6*1/3, TRUE, 0)) *
IF(ISNUMBER(SEARCH("Ordinance",$L152)),7/6,1) *
IF(OR(ISNUMBER(SEARCH("Melee",$L152)),ISNUMBER(SEARCH("Bypass",$L152))),1.5,1)</f>
        <v>0</v>
      </c>
      <c r="AF152" s="17" cm="1">
        <f t="array" ref="AF152">$H152 *
IF(ISNUMBER(SEARCH("Rapid",$L152)),7/6,1) *
IF(OR(ISNUMBER(SEARCH("Beam",$L152)),ISNUMBER(SEARCH("Firestorm",$L152))),1, IF(ISNUMBER(SEARCH("Blast",$L152)),(4+$F152+(2-$F152)*0.5)/6*2,(4+$F152)/6)) *
IF(ISNUMBER(SEARCH("Fusion",$L152)), _xlfn.IFS(AF$24-$I152 &lt;=1, 9/10, AF$24-$I152 &lt;=10,(11-(AF$24-$I152))/10, AF$24-$I152 &gt;=11, 0),
_xlfn.IFS(AF$24-$I152 &lt;=1, 5/6, AF$24-$I152 &lt;=5, (7-(AF$24-$I152))/6, AND(AF$24-$I152 =6,NOT(_xlfn.IFNA(ISNUMBER(SEARCH("Rending",$L152)),FALSE))), (7-(AF$24-$I152))/6, AND(AF$24-$I152 &gt;=7,NOT(_xlfn.IFNA(ISNUMBER(SEARCH("Rending",$L152)),FALSE))), 0, AF$24-$I152 =7, (7-(AF$24-1-$I152))/6, AF$24-$I152 =8, (7-(AF$24-2-$I152))/6*2/3, AF$24-$I152 =9, (7-(AF$24-3-$I152))/6*1/3, TRUE, 0)) *
IF(ISNUMBER(SEARCH("Ordinance",$L152)),7/6,1) *
IF(OR(ISNUMBER(SEARCH("Melee",$L152)),ISNUMBER(SEARCH("Bypass",$L152))),1.5,1)</f>
        <v>0</v>
      </c>
      <c r="AG152" s="16">
        <f t="shared" si="35"/>
        <v>2.7777777777777777</v>
      </c>
      <c r="AH152" s="16">
        <f t="shared" si="36"/>
        <v>4.166666666666667</v>
      </c>
      <c r="AI152" s="17" cm="1">
        <f t="array" ref="AI152">$H152 *
IF(ISNUMBER(SEARCH("Rapid",$L152)),7/6,1) *
IF(OR(ISNUMBER(SEARCH("Beam",$L152)),ISNUMBER(SEARCH("Firestorm",$L152))),1, IF(ISNUMBER(SEARCH("Blast",$L152)),(4+$G152+(2-$G152)*0.5)/6*2,(4+$G152)/6)) *
_xlfn.IFS(AI$24-$I152 &lt;=1, 5/6, AI$24-$I152 &lt;=5, (7-(AI$24-$I152))/6, AND(AI$24-$I152 =6,NOT(_xlfn.IFNA(ISNUMBER(SEARCH("Rending",$L152)),FALSE))), (7-(AI$24-$I152))/6, AND(AI$24-$I152 &gt;=7,NOT(_xlfn.IFNA(ISNUMBER(SEARCH("Rending",$L152)),FALSE))), 0, AI$24-$I152 =7, (7-(AI$24-1-$I152))/6, AI$24-$I152 =8, (7-(AI$24-2-$I152))/6*2/3, AI$24-$I152 =9, (7-(AI$24-3-$I152))/6*1/3, TRUE, 0) *
IF(ISNUMBER(SEARCH("Ordinance",$L152)),7/6,1) *
IF(OR(ISNUMBER(SEARCH("Melee",$L152)),ISNUMBER(SEARCH("Bypass",$L152))),1.5,1)</f>
        <v>6.9444444444444455</v>
      </c>
      <c r="AJ152" s="17" cm="1">
        <f t="array" ref="AJ152">$H152 *
IF(ISNUMBER(SEARCH("Rapid",$L152)),7/6,1) *
IF(OR(ISNUMBER(SEARCH("Beam",$L152)),ISNUMBER(SEARCH("Firestorm",$L152))),1, IF(ISNUMBER(SEARCH("Blast",$L152)),(4+$G152+(2-$G152)*0.5)/6*2,(4+$G152)/6)) *
_xlfn.IFS(AJ$24-$I152 &lt;=1, 5/6, AJ$24-$I152 &lt;=5, (7-(AJ$24-$I152))/6, AND(AJ$24-$I152 =6,NOT(_xlfn.IFNA(ISNUMBER(SEARCH("Rending",$L152)),FALSE))), (7-(AJ$24-$I152))/6, AND(AJ$24-$I152 &gt;=7,NOT(_xlfn.IFNA(ISNUMBER(SEARCH("Rending",$L152)),FALSE))), 0, AJ$24-$I152 =7, (7-(AJ$24-1-$I152))/6, AJ$24-$I152 =8, (7-(AJ$24-2-$I152))/6*2/3, AJ$24-$I152 =9, (7-(AJ$24-3-$I152))/6*1/3, TRUE, 0) *
IF(ISNUMBER(SEARCH("Ordinance",$L152)),7/6,1) *
IF(OR(ISNUMBER(SEARCH("Melee",$L152)),ISNUMBER(SEARCH("Bypass",$L152))),1.5,1)</f>
        <v>6.9444444444444455</v>
      </c>
      <c r="AK152" s="17" cm="1">
        <f t="array" ref="AK152">$H152 *
IF(ISNUMBER(SEARCH("Rapid",$L152)),7/6,1) *
IF(OR(ISNUMBER(SEARCH("Beam",$L152)),ISNUMBER(SEARCH("Firestorm",$L152))),1, IF(ISNUMBER(SEARCH("Blast",$L152)),(4+$G152+(2-$G152)*0.5)/6*2,(4+$G152)/6)) *
_xlfn.IFS(AK$24-$I152 &lt;=1, 5/6, AK$24-$I152 &lt;=5, (7-(AK$24-$I152))/6, AND(AK$24-$I152 =6,NOT(_xlfn.IFNA(ISNUMBER(SEARCH("Rending",$L152)),FALSE))), (7-(AK$24-$I152))/6, AND(AK$24-$I152 &gt;=7,NOT(_xlfn.IFNA(ISNUMBER(SEARCH("Rending",$L152)),FALSE))), 0, AK$24-$I152 =7, (7-(AK$24-1-$I152))/6, AK$24-$I152 =8, (7-(AK$24-2-$I152))/6*2/3, AK$24-$I152 =9, (7-(AK$24-3-$I152))/6*1/3, TRUE, 0) *
IF(ISNUMBER(SEARCH("Ordinance",$L152)),7/6,1) *
IF(OR(ISNUMBER(SEARCH("Melee",$L152)),ISNUMBER(SEARCH("Bypass",$L152))),1.5,1)</f>
        <v>6.9444444444444455</v>
      </c>
      <c r="AL152" s="17" cm="1">
        <f t="array" ref="AL152">$H152 *
IF(ISNUMBER(SEARCH("Rapid",$L152)),7/6,1) *
IF(OR(ISNUMBER(SEARCH("Beam",$L152)),ISNUMBER(SEARCH("Firestorm",$L152))),1, IF(ISNUMBER(SEARCH("Blast",$L152)),(4+$G152+(2-$G152)*0.5)/6*2,(4+$G152)/6)) *
_xlfn.IFS(AL$24-$I152 &lt;=1, 5/6, AL$24-$I152 &lt;=5, (7-(AL$24-$I152))/6, AND(AL$24-$I152 =6,NOT(_xlfn.IFNA(ISNUMBER(SEARCH("Rending",$L152)),FALSE))), (7-(AL$24-$I152))/6, AND(AL$24-$I152 &gt;=7,NOT(_xlfn.IFNA(ISNUMBER(SEARCH("Rending",$L152)),FALSE))), 0, AL$24-$I152 =7, (7-(AL$24-1-$I152))/6, AL$24-$I152 =8, (7-(AL$24-2-$I152))/6*2/3, AL$24-$I152 =9, (7-(AL$24-3-$I152))/6*1/3, TRUE, 0) *
IF(ISNUMBER(SEARCH("Ordinance",$L152)),7/6,1) *
IF(OR(ISNUMBER(SEARCH("Melee",$L152)),ISNUMBER(SEARCH("Bypass",$L152))),1.5,1)</f>
        <v>5.5555555555555554</v>
      </c>
      <c r="AM152" s="17" cm="1">
        <f t="array" ref="AM152">$H152 *
IF(ISNUMBER(SEARCH("Rapid",$L152)),7/6,1) *
IF(OR(ISNUMBER(SEARCH("Beam",$L152)),ISNUMBER(SEARCH("Firestorm",$L152))),1, IF(ISNUMBER(SEARCH("Blast",$L152)),(4+$G152+(2-$G152)*0.5)/6*2,(4+$G152)/6)) *
_xlfn.IFS(AM$24-$I152 &lt;=1, 5/6, AM$24-$I152 &lt;=5, (7-(AM$24-$I152))/6, AND(AM$24-$I152 =6,NOT(_xlfn.IFNA(ISNUMBER(SEARCH("Rending",$L152)),FALSE))), (7-(AM$24-$I152))/6, AND(AM$24-$I152 &gt;=7,NOT(_xlfn.IFNA(ISNUMBER(SEARCH("Rending",$L152)),FALSE))), 0, AM$24-$I152 =7, (7-(AM$24-1-$I152))/6, AM$24-$I152 =8, (7-(AM$24-2-$I152))/6*2/3, AM$24-$I152 =9, (7-(AM$24-3-$I152))/6*1/3, TRUE, 0) *
IF(ISNUMBER(SEARCH("Ordinance",$L152)),7/6,1) *
IF(OR(ISNUMBER(SEARCH("Melee",$L152)),ISNUMBER(SEARCH("Bypass",$L152))),1.5,1)</f>
        <v>4.166666666666667</v>
      </c>
      <c r="AN152" s="17" cm="1">
        <f t="array" ref="AN152">$H152 *
IF(ISNUMBER(SEARCH("Rapid",$L152)),7/6,1) *
IF(OR(ISNUMBER(SEARCH("Beam",$L152)),ISNUMBER(SEARCH("Firestorm",$L152))),1, IF(ISNUMBER(SEARCH("Blast",$L152)),(4+$G152+(2-$G152)*0.5)/6*2,(4+$G152)/6)) *
_xlfn.IFS(AN$24-$I152 &lt;=1, 5/6, AN$24-$I152 &lt;=5, (7-(AN$24-$I152))/6, AND(AN$24-$I152 =6,NOT(_xlfn.IFNA(ISNUMBER(SEARCH("Rending",$L152)),FALSE))), (7-(AN$24-$I152))/6, AND(AN$24-$I152 &gt;=7,NOT(_xlfn.IFNA(ISNUMBER(SEARCH("Rending",$L152)),FALSE))), 0, AN$24-$I152 =7, (7-(AN$24-1-$I152))/6, AN$24-$I152 =8, (7-(AN$24-2-$I152))/6*2/3, AN$24-$I152 =9, (7-(AN$24-3-$I152))/6*1/3, TRUE, 0) *
IF(ISNUMBER(SEARCH("Ordinance",$L152)),7/6,1) *
IF(OR(ISNUMBER(SEARCH("Melee",$L152)),ISNUMBER(SEARCH("Bypass",$L152))),1.5,1)</f>
        <v>2.7777777777777777</v>
      </c>
      <c r="AO152" s="17" cm="1">
        <f t="array" ref="AO152">$H152 *
IF(ISNUMBER(SEARCH("Rapid",$L152)),7/6,1) *
IF(OR(ISNUMBER(SEARCH("Beam",$L152)),ISNUMBER(SEARCH("Firestorm",$L152))),1, IF(ISNUMBER(SEARCH("Blast",$L152)),(4+$G152+(2-$G152)*0.5)/6*2,(4+$G152)/6)) *
_xlfn.IFS(AO$24-$I152 &lt;=1, 5/6, AO$24-$I152 &lt;=5, (7-(AO$24-$I152))/6, AND(AO$24-$I152 =6,NOT(_xlfn.IFNA(ISNUMBER(SEARCH("Rending",$L152)),FALSE))), (7-(AO$24-$I152))/6, AND(AO$24-$I152 &gt;=7,NOT(_xlfn.IFNA(ISNUMBER(SEARCH("Rending",$L152)),FALSE))), 0, AO$24-$I152 =7, (7-(AO$24-1-$I152))/6, AO$24-$I152 =8, (7-(AO$24-2-$I152))/6*2/3, AO$24-$I152 =9, (7-(AO$24-3-$I152))/6*1/3, TRUE, 0) *
IF(ISNUMBER(SEARCH("Ordinance",$L152)),7/6,1) *
IF(OR(ISNUMBER(SEARCH("Melee",$L152)),ISNUMBER(SEARCH("Bypass",$L152))),1.5,1)</f>
        <v>1.3888888888888888</v>
      </c>
      <c r="AP152" s="17" cm="1">
        <f t="array" ref="AP152">$H152 *
IF(ISNUMBER(SEARCH("Rapid",$L152)),7/6,1) *
IF(OR(ISNUMBER(SEARCH("Beam",$L152)),ISNUMBER(SEARCH("Firestorm",$L152))),1, IF(ISNUMBER(SEARCH("Blast",$L152)),(4+$G152+(2-$G152)*0.5)/6*2,(4+$G152)/6)) *
_xlfn.IFS(AP$24-$I152 &lt;=1, 5/6, AP$24-$I152 &lt;=5, (7-(AP$24-$I152))/6, AND(AP$24-$I152 =6,NOT(_xlfn.IFNA(ISNUMBER(SEARCH("Rending",$L152)),FALSE))), (7-(AP$24-$I152))/6, AND(AP$24-$I152 &gt;=7,NOT(_xlfn.IFNA(ISNUMBER(SEARCH("Rending",$L152)),FALSE))), 0, AP$24-$I152 =7, (7-(AP$24-1-$I152))/6, AP$24-$I152 =8, (7-(AP$24-2-$I152))/6*2/3, AP$24-$I152 =9, (7-(AP$24-3-$I152))/6*1/3, TRUE, 0) *
IF(ISNUMBER(SEARCH("Ordinance",$L152)),7/6,1) *
IF(OR(ISNUMBER(SEARCH("Melee",$L152)),ISNUMBER(SEARCH("Bypass",$L152))),1.5,1)</f>
        <v>0</v>
      </c>
      <c r="AQ152" s="17" cm="1">
        <f t="array" ref="AQ152">$H152 *
IF(ISNUMBER(SEARCH("Rapid",$L152)),7/6,1) *
IF(OR(ISNUMBER(SEARCH("Beam",$L152)),ISNUMBER(SEARCH("Firestorm",$L152))),1, IF(ISNUMBER(SEARCH("Blast",$L152)),(4+$G152+(2-$G152)*0.5)/6*2,(4+$G152)/6)) *
_xlfn.IFS(AQ$24-$I152 &lt;=1, 5/6, AQ$24-$I152 &lt;=5, (7-(AQ$24-$I152))/6, AND(AQ$24-$I152 =6,NOT(_xlfn.IFNA(ISNUMBER(SEARCH("Rending",$L152)),FALSE))), (7-(AQ$24-$I152))/6, AND(AQ$24-$I152 &gt;=7,NOT(_xlfn.IFNA(ISNUMBER(SEARCH("Rending",$L152)),FALSE))), 0, AQ$24-$I152 =7, (7-(AQ$24-1-$I152))/6, AQ$24-$I152 =8, (7-(AQ$24-2-$I152))/6*2/3, AQ$24-$I152 =9, (7-(AQ$24-3-$I152))/6*1/3, TRUE, 0) *
IF(ISNUMBER(SEARCH("Ordinance",$L152)),7/6,1) *
IF(OR(ISNUMBER(SEARCH("Melee",$L152)),ISNUMBER(SEARCH("Bypass",$L152))),1.5,1)</f>
        <v>0</v>
      </c>
      <c r="AS152" s="16">
        <f>IF($E152=1,AG152*3,IF($E152=2,2*AG152,1.1*AG152))/3</f>
        <v>1.8518518518518519</v>
      </c>
      <c r="AT152" s="16">
        <f>IF($E152=1,AH152*3,IF($E152=2,2*AH152,1.1*AH152))/3</f>
        <v>2.7777777777777781</v>
      </c>
      <c r="AU152" s="16">
        <f t="shared" si="40"/>
        <v>5.625</v>
      </c>
      <c r="AV152" s="2">
        <v>11</v>
      </c>
    </row>
    <row r="153" spans="1:48" x14ac:dyDescent="0.3">
      <c r="A153" t="s">
        <v>590</v>
      </c>
      <c r="F153" s="10"/>
      <c r="G153" s="10"/>
      <c r="V153" s="16">
        <f t="shared" si="33"/>
        <v>0</v>
      </c>
      <c r="W153" s="16">
        <f t="shared" si="34"/>
        <v>0</v>
      </c>
      <c r="X153" s="17" cm="1">
        <f t="array" ref="X153">$H153 *
IF(ISNUMBER(SEARCH("Rapid",$L153)),7/6,1) *
IF(OR(ISNUMBER(SEARCH("Beam",$L153)),ISNUMBER(SEARCH("Firestorm",$L153))),1, IF(ISNUMBER(SEARCH("Blast",$L153)),(4+$F153+(2-$F153)*0.5)/6*2,(4+$F153)/6)) *
IF(ISNUMBER(SEARCH("Fusion",$L153)), _xlfn.IFS(X$24-$I153 &lt;=1, 9/10, X$24-$I153 &lt;=10,(11-(X$24-$I153))/10, X$24-$I153 &gt;=11, 0),
_xlfn.IFS(X$24-$I153 &lt;=1, 5/6, X$24-$I153 &lt;=5, (7-(X$24-$I153))/6, AND(X$24-$I153 =6,NOT(_xlfn.IFNA(ISNUMBER(SEARCH("Rending",$L153)),FALSE))), (7-(X$24-$I153))/6, AND(X$24-$I153 &gt;=7,NOT(_xlfn.IFNA(ISNUMBER(SEARCH("Rending",$L153)),FALSE))), 0, X$24-$I153 =7, (7-(X$24-1-$I153))/6, X$24-$I153 =8, (7-(X$24-2-$I153))/6*2/3, X$24-$I153 =9, (7-(X$24-3-$I153))/6*1/3, TRUE, 0)) *
IF(ISNUMBER(SEARCH("Ordinance",$L153)),7/6,1) *
IF(OR(ISNUMBER(SEARCH("Melee",$L153)),ISNUMBER(SEARCH("Bypass",$L153))),1.5,1)</f>
        <v>0</v>
      </c>
      <c r="Y153" s="17" cm="1">
        <f t="array" ref="Y153">$H153 *
IF(ISNUMBER(SEARCH("Rapid",$L153)),7/6,1) *
IF(OR(ISNUMBER(SEARCH("Beam",$L153)),ISNUMBER(SEARCH("Firestorm",$L153))),1, IF(ISNUMBER(SEARCH("Blast",$L153)),(4+$F153+(2-$F153)*0.5)/6*2,(4+$F153)/6)) *
IF(ISNUMBER(SEARCH("Fusion",$L153)), _xlfn.IFS(Y$24-$I153 &lt;=1, 9/10, Y$24-$I153 &lt;=10,(11-(Y$24-$I153))/10, Y$24-$I153 &gt;=11, 0),
_xlfn.IFS(Y$24-$I153 &lt;=1, 5/6, Y$24-$I153 &lt;=5, (7-(Y$24-$I153))/6, AND(Y$24-$I153 =6,NOT(_xlfn.IFNA(ISNUMBER(SEARCH("Rending",$L153)),FALSE))), (7-(Y$24-$I153))/6, AND(Y$24-$I153 &gt;=7,NOT(_xlfn.IFNA(ISNUMBER(SEARCH("Rending",$L153)),FALSE))), 0, Y$24-$I153 =7, (7-(Y$24-1-$I153))/6, Y$24-$I153 =8, (7-(Y$24-2-$I153))/6*2/3, Y$24-$I153 =9, (7-(Y$24-3-$I153))/6*1/3, TRUE, 0)) *
IF(ISNUMBER(SEARCH("Ordinance",$L153)),7/6,1) *
IF(OR(ISNUMBER(SEARCH("Melee",$L153)),ISNUMBER(SEARCH("Bypass",$L153))),1.5,1)</f>
        <v>0</v>
      </c>
      <c r="Z153" s="17" cm="1">
        <f t="array" ref="Z153">$H153 *
IF(ISNUMBER(SEARCH("Rapid",$L153)),7/6,1) *
IF(OR(ISNUMBER(SEARCH("Beam",$L153)),ISNUMBER(SEARCH("Firestorm",$L153))),1, IF(ISNUMBER(SEARCH("Blast",$L153)),(4+$F153+(2-$F153)*0.5)/6*2,(4+$F153)/6)) *
IF(ISNUMBER(SEARCH("Fusion",$L153)), _xlfn.IFS(Z$24-$I153 &lt;=1, 9/10, Z$24-$I153 &lt;=10,(11-(Z$24-$I153))/10, Z$24-$I153 &gt;=11, 0),
_xlfn.IFS(Z$24-$I153 &lt;=1, 5/6, Z$24-$I153 &lt;=5, (7-(Z$24-$I153))/6, AND(Z$24-$I153 =6,NOT(_xlfn.IFNA(ISNUMBER(SEARCH("Rending",$L153)),FALSE))), (7-(Z$24-$I153))/6, AND(Z$24-$I153 &gt;=7,NOT(_xlfn.IFNA(ISNUMBER(SEARCH("Rending",$L153)),FALSE))), 0, Z$24-$I153 =7, (7-(Z$24-1-$I153))/6, Z$24-$I153 =8, (7-(Z$24-2-$I153))/6*2/3, Z$24-$I153 =9, (7-(Z$24-3-$I153))/6*1/3, TRUE, 0)) *
IF(ISNUMBER(SEARCH("Ordinance",$L153)),7/6,1) *
IF(OR(ISNUMBER(SEARCH("Melee",$L153)),ISNUMBER(SEARCH("Bypass",$L153))),1.5,1)</f>
        <v>0</v>
      </c>
      <c r="AA153" s="17" cm="1">
        <f t="array" ref="AA153">$H153 *
IF(ISNUMBER(SEARCH("Rapid",$L153)),7/6,1) *
IF(OR(ISNUMBER(SEARCH("Beam",$L153)),ISNUMBER(SEARCH("Firestorm",$L153))),1, IF(ISNUMBER(SEARCH("Blast",$L153)),(4+$F153+(2-$F153)*0.5)/6*2,(4+$F153)/6)) *
IF(ISNUMBER(SEARCH("Fusion",$L153)), _xlfn.IFS(AA$24-$I153 &lt;=1, 9/10, AA$24-$I153 &lt;=10,(11-(AA$24-$I153))/10, AA$24-$I153 &gt;=11, 0),
_xlfn.IFS(AA$24-$I153 &lt;=1, 5/6, AA$24-$I153 &lt;=5, (7-(AA$24-$I153))/6, AND(AA$24-$I153 =6,NOT(_xlfn.IFNA(ISNUMBER(SEARCH("Rending",$L153)),FALSE))), (7-(AA$24-$I153))/6, AND(AA$24-$I153 &gt;=7,NOT(_xlfn.IFNA(ISNUMBER(SEARCH("Rending",$L153)),FALSE))), 0, AA$24-$I153 =7, (7-(AA$24-1-$I153))/6, AA$24-$I153 =8, (7-(AA$24-2-$I153))/6*2/3, AA$24-$I153 =9, (7-(AA$24-3-$I153))/6*1/3, TRUE, 0)) *
IF(ISNUMBER(SEARCH("Ordinance",$L153)),7/6,1) *
IF(OR(ISNUMBER(SEARCH("Melee",$L153)),ISNUMBER(SEARCH("Bypass",$L153))),1.5,1)</f>
        <v>0</v>
      </c>
      <c r="AB153" s="17" cm="1">
        <f t="array" ref="AB153">$H153 *
IF(ISNUMBER(SEARCH("Rapid",$L153)),7/6,1) *
IF(OR(ISNUMBER(SEARCH("Beam",$L153)),ISNUMBER(SEARCH("Firestorm",$L153))),1, IF(ISNUMBER(SEARCH("Blast",$L153)),(4+$F153+(2-$F153)*0.5)/6*2,(4+$F153)/6)) *
IF(ISNUMBER(SEARCH("Fusion",$L153)), _xlfn.IFS(AB$24-$I153 &lt;=1, 9/10, AB$24-$I153 &lt;=10,(11-(AB$24-$I153))/10, AB$24-$I153 &gt;=11, 0),
_xlfn.IFS(AB$24-$I153 &lt;=1, 5/6, AB$24-$I153 &lt;=5, (7-(AB$24-$I153))/6, AND(AB$24-$I153 =6,NOT(_xlfn.IFNA(ISNUMBER(SEARCH("Rending",$L153)),FALSE))), (7-(AB$24-$I153))/6, AND(AB$24-$I153 &gt;=7,NOT(_xlfn.IFNA(ISNUMBER(SEARCH("Rending",$L153)),FALSE))), 0, AB$24-$I153 =7, (7-(AB$24-1-$I153))/6, AB$24-$I153 =8, (7-(AB$24-2-$I153))/6*2/3, AB$24-$I153 =9, (7-(AB$24-3-$I153))/6*1/3, TRUE, 0)) *
IF(ISNUMBER(SEARCH("Ordinance",$L153)),7/6,1) *
IF(OR(ISNUMBER(SEARCH("Melee",$L153)),ISNUMBER(SEARCH("Bypass",$L153))),1.5,1)</f>
        <v>0</v>
      </c>
      <c r="AC153" s="17" cm="1">
        <f t="array" ref="AC153">$H153 *
IF(ISNUMBER(SEARCH("Rapid",$L153)),7/6,1) *
IF(OR(ISNUMBER(SEARCH("Beam",$L153)),ISNUMBER(SEARCH("Firestorm",$L153))),1, IF(ISNUMBER(SEARCH("Blast",$L153)),(4+$F153+(2-$F153)*0.5)/6*2,(4+$F153)/6)) *
IF(ISNUMBER(SEARCH("Fusion",$L153)), _xlfn.IFS(AC$24-$I153 &lt;=1, 9/10, AC$24-$I153 &lt;=10,(11-(AC$24-$I153))/10, AC$24-$I153 &gt;=11, 0),
_xlfn.IFS(AC$24-$I153 &lt;=1, 5/6, AC$24-$I153 &lt;=5, (7-(AC$24-$I153))/6, AND(AC$24-$I153 =6,NOT(_xlfn.IFNA(ISNUMBER(SEARCH("Rending",$L153)),FALSE))), (7-(AC$24-$I153))/6, AND(AC$24-$I153 &gt;=7,NOT(_xlfn.IFNA(ISNUMBER(SEARCH("Rending",$L153)),FALSE))), 0, AC$24-$I153 =7, (7-(AC$24-1-$I153))/6, AC$24-$I153 =8, (7-(AC$24-2-$I153))/6*2/3, AC$24-$I153 =9, (7-(AC$24-3-$I153))/6*1/3, TRUE, 0)) *
IF(ISNUMBER(SEARCH("Ordinance",$L153)),7/6,1) *
IF(OR(ISNUMBER(SEARCH("Melee",$L153)),ISNUMBER(SEARCH("Bypass",$L153))),1.5,1)</f>
        <v>0</v>
      </c>
      <c r="AD153" s="17" cm="1">
        <f t="array" ref="AD153">$H153 *
IF(ISNUMBER(SEARCH("Rapid",$L153)),7/6,1) *
IF(OR(ISNUMBER(SEARCH("Beam",$L153)),ISNUMBER(SEARCH("Firestorm",$L153))),1, IF(ISNUMBER(SEARCH("Blast",$L153)),(4+$F153+(2-$F153)*0.5)/6*2,(4+$F153)/6)) *
IF(ISNUMBER(SEARCH("Fusion",$L153)), _xlfn.IFS(AD$24-$I153 &lt;=1, 9/10, AD$24-$I153 &lt;=10,(11-(AD$24-$I153))/10, AD$24-$I153 &gt;=11, 0),
_xlfn.IFS(AD$24-$I153 &lt;=1, 5/6, AD$24-$I153 &lt;=5, (7-(AD$24-$I153))/6, AND(AD$24-$I153 =6,NOT(_xlfn.IFNA(ISNUMBER(SEARCH("Rending",$L153)),FALSE))), (7-(AD$24-$I153))/6, AND(AD$24-$I153 &gt;=7,NOT(_xlfn.IFNA(ISNUMBER(SEARCH("Rending",$L153)),FALSE))), 0, AD$24-$I153 =7, (7-(AD$24-1-$I153))/6, AD$24-$I153 =8, (7-(AD$24-2-$I153))/6*2/3, AD$24-$I153 =9, (7-(AD$24-3-$I153))/6*1/3, TRUE, 0)) *
IF(ISNUMBER(SEARCH("Ordinance",$L153)),7/6,1) *
IF(OR(ISNUMBER(SEARCH("Melee",$L153)),ISNUMBER(SEARCH("Bypass",$L153))),1.5,1)</f>
        <v>0</v>
      </c>
      <c r="AE153" s="17" cm="1">
        <f t="array" ref="AE153">$H153 *
IF(ISNUMBER(SEARCH("Rapid",$L153)),7/6,1) *
IF(OR(ISNUMBER(SEARCH("Beam",$L153)),ISNUMBER(SEARCH("Firestorm",$L153))),1, IF(ISNUMBER(SEARCH("Blast",$L153)),(4+$F153+(2-$F153)*0.5)/6*2,(4+$F153)/6)) *
IF(ISNUMBER(SEARCH("Fusion",$L153)), _xlfn.IFS(AE$24-$I153 &lt;=1, 9/10, AE$24-$I153 &lt;=10,(11-(AE$24-$I153))/10, AE$24-$I153 &gt;=11, 0),
_xlfn.IFS(AE$24-$I153 &lt;=1, 5/6, AE$24-$I153 &lt;=5, (7-(AE$24-$I153))/6, AND(AE$24-$I153 =6,NOT(_xlfn.IFNA(ISNUMBER(SEARCH("Rending",$L153)),FALSE))), (7-(AE$24-$I153))/6, AND(AE$24-$I153 &gt;=7,NOT(_xlfn.IFNA(ISNUMBER(SEARCH("Rending",$L153)),FALSE))), 0, AE$24-$I153 =7, (7-(AE$24-1-$I153))/6, AE$24-$I153 =8, (7-(AE$24-2-$I153))/6*2/3, AE$24-$I153 =9, (7-(AE$24-3-$I153))/6*1/3, TRUE, 0)) *
IF(ISNUMBER(SEARCH("Ordinance",$L153)),7/6,1) *
IF(OR(ISNUMBER(SEARCH("Melee",$L153)),ISNUMBER(SEARCH("Bypass",$L153))),1.5,1)</f>
        <v>0</v>
      </c>
      <c r="AF153" s="17" cm="1">
        <f t="array" ref="AF153">$H153 *
IF(ISNUMBER(SEARCH("Rapid",$L153)),7/6,1) *
IF(OR(ISNUMBER(SEARCH("Beam",$L153)),ISNUMBER(SEARCH("Firestorm",$L153))),1, IF(ISNUMBER(SEARCH("Blast",$L153)),(4+$F153+(2-$F153)*0.5)/6*2,(4+$F153)/6)) *
IF(ISNUMBER(SEARCH("Fusion",$L153)), _xlfn.IFS(AF$24-$I153 &lt;=1, 9/10, AF$24-$I153 &lt;=10,(11-(AF$24-$I153))/10, AF$24-$I153 &gt;=11, 0),
_xlfn.IFS(AF$24-$I153 &lt;=1, 5/6, AF$24-$I153 &lt;=5, (7-(AF$24-$I153))/6, AND(AF$24-$I153 =6,NOT(_xlfn.IFNA(ISNUMBER(SEARCH("Rending",$L153)),FALSE))), (7-(AF$24-$I153))/6, AND(AF$24-$I153 &gt;=7,NOT(_xlfn.IFNA(ISNUMBER(SEARCH("Rending",$L153)),FALSE))), 0, AF$24-$I153 =7, (7-(AF$24-1-$I153))/6, AF$24-$I153 =8, (7-(AF$24-2-$I153))/6*2/3, AF$24-$I153 =9, (7-(AF$24-3-$I153))/6*1/3, TRUE, 0)) *
IF(ISNUMBER(SEARCH("Ordinance",$L153)),7/6,1) *
IF(OR(ISNUMBER(SEARCH("Melee",$L153)),ISNUMBER(SEARCH("Bypass",$L153))),1.5,1)</f>
        <v>0</v>
      </c>
      <c r="AG153" s="16">
        <f t="shared" si="35"/>
        <v>0</v>
      </c>
      <c r="AH153" s="16">
        <f t="shared" si="36"/>
        <v>0</v>
      </c>
      <c r="AI153" s="17" cm="1">
        <f t="array" ref="AI153">$H153 *
IF(ISNUMBER(SEARCH("Rapid",$L153)),7/6,1) *
IF(OR(ISNUMBER(SEARCH("Beam",$L153)),ISNUMBER(SEARCH("Firestorm",$L153))),1, IF(ISNUMBER(SEARCH("Blast",$L153)),(4+$G153+(2-$G153)*0.5)/6*2,(4+$G153)/6)) *
_xlfn.IFS(AI$24-$I153 &lt;=1, 5/6, AI$24-$I153 &lt;=5, (7-(AI$24-$I153))/6, AND(AI$24-$I153 =6,NOT(_xlfn.IFNA(ISNUMBER(SEARCH("Rending",$L153)),FALSE))), (7-(AI$24-$I153))/6, AND(AI$24-$I153 &gt;=7,NOT(_xlfn.IFNA(ISNUMBER(SEARCH("Rending",$L153)),FALSE))), 0, AI$24-$I153 =7, (7-(AI$24-1-$I153))/6, AI$24-$I153 =8, (7-(AI$24-2-$I153))/6*2/3, AI$24-$I153 =9, (7-(AI$24-3-$I153))/6*1/3, TRUE, 0) *
IF(ISNUMBER(SEARCH("Ordinance",$L153)),7/6,1) *
IF(OR(ISNUMBER(SEARCH("Melee",$L153)),ISNUMBER(SEARCH("Bypass",$L153))),1.5,1)</f>
        <v>0</v>
      </c>
      <c r="AJ153" s="17" cm="1">
        <f t="array" ref="AJ153">$H153 *
IF(ISNUMBER(SEARCH("Rapid",$L153)),7/6,1) *
IF(OR(ISNUMBER(SEARCH("Beam",$L153)),ISNUMBER(SEARCH("Firestorm",$L153))),1, IF(ISNUMBER(SEARCH("Blast",$L153)),(4+$G153+(2-$G153)*0.5)/6*2,(4+$G153)/6)) *
_xlfn.IFS(AJ$24-$I153 &lt;=1, 5/6, AJ$24-$I153 &lt;=5, (7-(AJ$24-$I153))/6, AND(AJ$24-$I153 =6,NOT(_xlfn.IFNA(ISNUMBER(SEARCH("Rending",$L153)),FALSE))), (7-(AJ$24-$I153))/6, AND(AJ$24-$I153 &gt;=7,NOT(_xlfn.IFNA(ISNUMBER(SEARCH("Rending",$L153)),FALSE))), 0, AJ$24-$I153 =7, (7-(AJ$24-1-$I153))/6, AJ$24-$I153 =8, (7-(AJ$24-2-$I153))/6*2/3, AJ$24-$I153 =9, (7-(AJ$24-3-$I153))/6*1/3, TRUE, 0) *
IF(ISNUMBER(SEARCH("Ordinance",$L153)),7/6,1) *
IF(OR(ISNUMBER(SEARCH("Melee",$L153)),ISNUMBER(SEARCH("Bypass",$L153))),1.5,1)</f>
        <v>0</v>
      </c>
      <c r="AK153" s="17" cm="1">
        <f t="array" ref="AK153">$H153 *
IF(ISNUMBER(SEARCH("Rapid",$L153)),7/6,1) *
IF(OR(ISNUMBER(SEARCH("Beam",$L153)),ISNUMBER(SEARCH("Firestorm",$L153))),1, IF(ISNUMBER(SEARCH("Blast",$L153)),(4+$G153+(2-$G153)*0.5)/6*2,(4+$G153)/6)) *
_xlfn.IFS(AK$24-$I153 &lt;=1, 5/6, AK$24-$I153 &lt;=5, (7-(AK$24-$I153))/6, AND(AK$24-$I153 =6,NOT(_xlfn.IFNA(ISNUMBER(SEARCH("Rending",$L153)),FALSE))), (7-(AK$24-$I153))/6, AND(AK$24-$I153 &gt;=7,NOT(_xlfn.IFNA(ISNUMBER(SEARCH("Rending",$L153)),FALSE))), 0, AK$24-$I153 =7, (7-(AK$24-1-$I153))/6, AK$24-$I153 =8, (7-(AK$24-2-$I153))/6*2/3, AK$24-$I153 =9, (7-(AK$24-3-$I153))/6*1/3, TRUE, 0) *
IF(ISNUMBER(SEARCH("Ordinance",$L153)),7/6,1) *
IF(OR(ISNUMBER(SEARCH("Melee",$L153)),ISNUMBER(SEARCH("Bypass",$L153))),1.5,1)</f>
        <v>0</v>
      </c>
      <c r="AL153" s="17" cm="1">
        <f t="array" ref="AL153">$H153 *
IF(ISNUMBER(SEARCH("Rapid",$L153)),7/6,1) *
IF(OR(ISNUMBER(SEARCH("Beam",$L153)),ISNUMBER(SEARCH("Firestorm",$L153))),1, IF(ISNUMBER(SEARCH("Blast",$L153)),(4+$G153+(2-$G153)*0.5)/6*2,(4+$G153)/6)) *
_xlfn.IFS(AL$24-$I153 &lt;=1, 5/6, AL$24-$I153 &lt;=5, (7-(AL$24-$I153))/6, AND(AL$24-$I153 =6,NOT(_xlfn.IFNA(ISNUMBER(SEARCH("Rending",$L153)),FALSE))), (7-(AL$24-$I153))/6, AND(AL$24-$I153 &gt;=7,NOT(_xlfn.IFNA(ISNUMBER(SEARCH("Rending",$L153)),FALSE))), 0, AL$24-$I153 =7, (7-(AL$24-1-$I153))/6, AL$24-$I153 =8, (7-(AL$24-2-$I153))/6*2/3, AL$24-$I153 =9, (7-(AL$24-3-$I153))/6*1/3, TRUE, 0) *
IF(ISNUMBER(SEARCH("Ordinance",$L153)),7/6,1) *
IF(OR(ISNUMBER(SEARCH("Melee",$L153)),ISNUMBER(SEARCH("Bypass",$L153))),1.5,1)</f>
        <v>0</v>
      </c>
      <c r="AM153" s="17" cm="1">
        <f t="array" ref="AM153">$H153 *
IF(ISNUMBER(SEARCH("Rapid",$L153)),7/6,1) *
IF(OR(ISNUMBER(SEARCH("Beam",$L153)),ISNUMBER(SEARCH("Firestorm",$L153))),1, IF(ISNUMBER(SEARCH("Blast",$L153)),(4+$G153+(2-$G153)*0.5)/6*2,(4+$G153)/6)) *
_xlfn.IFS(AM$24-$I153 &lt;=1, 5/6, AM$24-$I153 &lt;=5, (7-(AM$24-$I153))/6, AND(AM$24-$I153 =6,NOT(_xlfn.IFNA(ISNUMBER(SEARCH("Rending",$L153)),FALSE))), (7-(AM$24-$I153))/6, AND(AM$24-$I153 &gt;=7,NOT(_xlfn.IFNA(ISNUMBER(SEARCH("Rending",$L153)),FALSE))), 0, AM$24-$I153 =7, (7-(AM$24-1-$I153))/6, AM$24-$I153 =8, (7-(AM$24-2-$I153))/6*2/3, AM$24-$I153 =9, (7-(AM$24-3-$I153))/6*1/3, TRUE, 0) *
IF(ISNUMBER(SEARCH("Ordinance",$L153)),7/6,1) *
IF(OR(ISNUMBER(SEARCH("Melee",$L153)),ISNUMBER(SEARCH("Bypass",$L153))),1.5,1)</f>
        <v>0</v>
      </c>
      <c r="AN153" s="17" cm="1">
        <f t="array" ref="AN153">$H153 *
IF(ISNUMBER(SEARCH("Rapid",$L153)),7/6,1) *
IF(OR(ISNUMBER(SEARCH("Beam",$L153)),ISNUMBER(SEARCH("Firestorm",$L153))),1, IF(ISNUMBER(SEARCH("Blast",$L153)),(4+$G153+(2-$G153)*0.5)/6*2,(4+$G153)/6)) *
_xlfn.IFS(AN$24-$I153 &lt;=1, 5/6, AN$24-$I153 &lt;=5, (7-(AN$24-$I153))/6, AND(AN$24-$I153 =6,NOT(_xlfn.IFNA(ISNUMBER(SEARCH("Rending",$L153)),FALSE))), (7-(AN$24-$I153))/6, AND(AN$24-$I153 &gt;=7,NOT(_xlfn.IFNA(ISNUMBER(SEARCH("Rending",$L153)),FALSE))), 0, AN$24-$I153 =7, (7-(AN$24-1-$I153))/6, AN$24-$I153 =8, (7-(AN$24-2-$I153))/6*2/3, AN$24-$I153 =9, (7-(AN$24-3-$I153))/6*1/3, TRUE, 0) *
IF(ISNUMBER(SEARCH("Ordinance",$L153)),7/6,1) *
IF(OR(ISNUMBER(SEARCH("Melee",$L153)),ISNUMBER(SEARCH("Bypass",$L153))),1.5,1)</f>
        <v>0</v>
      </c>
      <c r="AO153" s="17" cm="1">
        <f t="array" ref="AO153">$H153 *
IF(ISNUMBER(SEARCH("Rapid",$L153)),7/6,1) *
IF(OR(ISNUMBER(SEARCH("Beam",$L153)),ISNUMBER(SEARCH("Firestorm",$L153))),1, IF(ISNUMBER(SEARCH("Blast",$L153)),(4+$G153+(2-$G153)*0.5)/6*2,(4+$G153)/6)) *
_xlfn.IFS(AO$24-$I153 &lt;=1, 5/6, AO$24-$I153 &lt;=5, (7-(AO$24-$I153))/6, AND(AO$24-$I153 =6,NOT(_xlfn.IFNA(ISNUMBER(SEARCH("Rending",$L153)),FALSE))), (7-(AO$24-$I153))/6, AND(AO$24-$I153 &gt;=7,NOT(_xlfn.IFNA(ISNUMBER(SEARCH("Rending",$L153)),FALSE))), 0, AO$24-$I153 =7, (7-(AO$24-1-$I153))/6, AO$24-$I153 =8, (7-(AO$24-2-$I153))/6*2/3, AO$24-$I153 =9, (7-(AO$24-3-$I153))/6*1/3, TRUE, 0) *
IF(ISNUMBER(SEARCH("Ordinance",$L153)),7/6,1) *
IF(OR(ISNUMBER(SEARCH("Melee",$L153)),ISNUMBER(SEARCH("Bypass",$L153))),1.5,1)</f>
        <v>0</v>
      </c>
      <c r="AP153" s="17" cm="1">
        <f t="array" ref="AP153">$H153 *
IF(ISNUMBER(SEARCH("Rapid",$L153)),7/6,1) *
IF(OR(ISNUMBER(SEARCH("Beam",$L153)),ISNUMBER(SEARCH("Firestorm",$L153))),1, IF(ISNUMBER(SEARCH("Blast",$L153)),(4+$G153+(2-$G153)*0.5)/6*2,(4+$G153)/6)) *
_xlfn.IFS(AP$24-$I153 &lt;=1, 5/6, AP$24-$I153 &lt;=5, (7-(AP$24-$I153))/6, AND(AP$24-$I153 =6,NOT(_xlfn.IFNA(ISNUMBER(SEARCH("Rending",$L153)),FALSE))), (7-(AP$24-$I153))/6, AND(AP$24-$I153 &gt;=7,NOT(_xlfn.IFNA(ISNUMBER(SEARCH("Rending",$L153)),FALSE))), 0, AP$24-$I153 =7, (7-(AP$24-1-$I153))/6, AP$24-$I153 =8, (7-(AP$24-2-$I153))/6*2/3, AP$24-$I153 =9, (7-(AP$24-3-$I153))/6*1/3, TRUE, 0) *
IF(ISNUMBER(SEARCH("Ordinance",$L153)),7/6,1) *
IF(OR(ISNUMBER(SEARCH("Melee",$L153)),ISNUMBER(SEARCH("Bypass",$L153))),1.5,1)</f>
        <v>0</v>
      </c>
      <c r="AQ153" s="17" cm="1">
        <f t="array" ref="AQ153">$H153 *
IF(ISNUMBER(SEARCH("Rapid",$L153)),7/6,1) *
IF(OR(ISNUMBER(SEARCH("Beam",$L153)),ISNUMBER(SEARCH("Firestorm",$L153))),1, IF(ISNUMBER(SEARCH("Blast",$L153)),(4+$G153+(2-$G153)*0.5)/6*2,(4+$G153)/6)) *
_xlfn.IFS(AQ$24-$I153 &lt;=1, 5/6, AQ$24-$I153 &lt;=5, (7-(AQ$24-$I153))/6, AND(AQ$24-$I153 =6,NOT(_xlfn.IFNA(ISNUMBER(SEARCH("Rending",$L153)),FALSE))), (7-(AQ$24-$I153))/6, AND(AQ$24-$I153 &gt;=7,NOT(_xlfn.IFNA(ISNUMBER(SEARCH("Rending",$L153)),FALSE))), 0, AQ$24-$I153 =7, (7-(AQ$24-1-$I153))/6, AQ$24-$I153 =8, (7-(AQ$24-2-$I153))/6*2/3, AQ$24-$I153 =9, (7-(AQ$24-3-$I153))/6*1/3, TRUE, 0) *
IF(ISNUMBER(SEARCH("Ordinance",$L153)),7/6,1) *
IF(OR(ISNUMBER(SEARCH("Melee",$L153)),ISNUMBER(SEARCH("Bypass",$L153))),1.5,1)</f>
        <v>0</v>
      </c>
    </row>
    <row r="154" spans="1:48" x14ac:dyDescent="0.3">
      <c r="F154" s="10"/>
      <c r="G154" s="10"/>
      <c r="V154" s="16">
        <f t="shared" si="33"/>
        <v>0</v>
      </c>
      <c r="W154" s="16">
        <f t="shared" si="34"/>
        <v>0</v>
      </c>
      <c r="X154" s="17" cm="1">
        <f t="array" ref="X154">$H154 *
IF(ISNUMBER(SEARCH("Rapid",$L154)),7/6,1) *
IF(OR(ISNUMBER(SEARCH("Beam",$L154)),ISNUMBER(SEARCH("Firestorm",$L154))),1, IF(ISNUMBER(SEARCH("Blast",$L154)),(4+$F154+(2-$F154)*0.5)/6*2,(4+$F154)/6)) *
IF(ISNUMBER(SEARCH("Fusion",$L154)), _xlfn.IFS(X$24-$I154 &lt;=1, 9/10, X$24-$I154 &lt;=10,(11-(X$24-$I154))/10, X$24-$I154 &gt;=11, 0),
_xlfn.IFS(X$24-$I154 &lt;=1, 5/6, X$24-$I154 &lt;=5, (7-(X$24-$I154))/6, AND(X$24-$I154 =6,NOT(_xlfn.IFNA(ISNUMBER(SEARCH("Rending",$L154)),FALSE))), (7-(X$24-$I154))/6, AND(X$24-$I154 &gt;=7,NOT(_xlfn.IFNA(ISNUMBER(SEARCH("Rending",$L154)),FALSE))), 0, X$24-$I154 =7, (7-(X$24-1-$I154))/6, X$24-$I154 =8, (7-(X$24-2-$I154))/6*2/3, X$24-$I154 =9, (7-(X$24-3-$I154))/6*1/3, TRUE, 0)) *
IF(ISNUMBER(SEARCH("Ordinance",$L154)),7/6,1) *
IF(OR(ISNUMBER(SEARCH("Melee",$L154)),ISNUMBER(SEARCH("Bypass",$L154))),1.5,1)</f>
        <v>0</v>
      </c>
      <c r="Y154" s="17" cm="1">
        <f t="array" ref="Y154">$H154 *
IF(ISNUMBER(SEARCH("Rapid",$L154)),7/6,1) *
IF(OR(ISNUMBER(SEARCH("Beam",$L154)),ISNUMBER(SEARCH("Firestorm",$L154))),1, IF(ISNUMBER(SEARCH("Blast",$L154)),(4+$F154+(2-$F154)*0.5)/6*2,(4+$F154)/6)) *
IF(ISNUMBER(SEARCH("Fusion",$L154)), _xlfn.IFS(Y$24-$I154 &lt;=1, 9/10, Y$24-$I154 &lt;=10,(11-(Y$24-$I154))/10, Y$24-$I154 &gt;=11, 0),
_xlfn.IFS(Y$24-$I154 &lt;=1, 5/6, Y$24-$I154 &lt;=5, (7-(Y$24-$I154))/6, AND(Y$24-$I154 =6,NOT(_xlfn.IFNA(ISNUMBER(SEARCH("Rending",$L154)),FALSE))), (7-(Y$24-$I154))/6, AND(Y$24-$I154 &gt;=7,NOT(_xlfn.IFNA(ISNUMBER(SEARCH("Rending",$L154)),FALSE))), 0, Y$24-$I154 =7, (7-(Y$24-1-$I154))/6, Y$24-$I154 =8, (7-(Y$24-2-$I154))/6*2/3, Y$24-$I154 =9, (7-(Y$24-3-$I154))/6*1/3, TRUE, 0)) *
IF(ISNUMBER(SEARCH("Ordinance",$L154)),7/6,1) *
IF(OR(ISNUMBER(SEARCH("Melee",$L154)),ISNUMBER(SEARCH("Bypass",$L154))),1.5,1)</f>
        <v>0</v>
      </c>
      <c r="Z154" s="17" cm="1">
        <f t="array" ref="Z154">$H154 *
IF(ISNUMBER(SEARCH("Rapid",$L154)),7/6,1) *
IF(OR(ISNUMBER(SEARCH("Beam",$L154)),ISNUMBER(SEARCH("Firestorm",$L154))),1, IF(ISNUMBER(SEARCH("Blast",$L154)),(4+$F154+(2-$F154)*0.5)/6*2,(4+$F154)/6)) *
IF(ISNUMBER(SEARCH("Fusion",$L154)), _xlfn.IFS(Z$24-$I154 &lt;=1, 9/10, Z$24-$I154 &lt;=10,(11-(Z$24-$I154))/10, Z$24-$I154 &gt;=11, 0),
_xlfn.IFS(Z$24-$I154 &lt;=1, 5/6, Z$24-$I154 &lt;=5, (7-(Z$24-$I154))/6, AND(Z$24-$I154 =6,NOT(_xlfn.IFNA(ISNUMBER(SEARCH("Rending",$L154)),FALSE))), (7-(Z$24-$I154))/6, AND(Z$24-$I154 &gt;=7,NOT(_xlfn.IFNA(ISNUMBER(SEARCH("Rending",$L154)),FALSE))), 0, Z$24-$I154 =7, (7-(Z$24-1-$I154))/6, Z$24-$I154 =8, (7-(Z$24-2-$I154))/6*2/3, Z$24-$I154 =9, (7-(Z$24-3-$I154))/6*1/3, TRUE, 0)) *
IF(ISNUMBER(SEARCH("Ordinance",$L154)),7/6,1) *
IF(OR(ISNUMBER(SEARCH("Melee",$L154)),ISNUMBER(SEARCH("Bypass",$L154))),1.5,1)</f>
        <v>0</v>
      </c>
      <c r="AA154" s="17" cm="1">
        <f t="array" ref="AA154">$H154 *
IF(ISNUMBER(SEARCH("Rapid",$L154)),7/6,1) *
IF(OR(ISNUMBER(SEARCH("Beam",$L154)),ISNUMBER(SEARCH("Firestorm",$L154))),1, IF(ISNUMBER(SEARCH("Blast",$L154)),(4+$F154+(2-$F154)*0.5)/6*2,(4+$F154)/6)) *
IF(ISNUMBER(SEARCH("Fusion",$L154)), _xlfn.IFS(AA$24-$I154 &lt;=1, 9/10, AA$24-$I154 &lt;=10,(11-(AA$24-$I154))/10, AA$24-$I154 &gt;=11, 0),
_xlfn.IFS(AA$24-$I154 &lt;=1, 5/6, AA$24-$I154 &lt;=5, (7-(AA$24-$I154))/6, AND(AA$24-$I154 =6,NOT(_xlfn.IFNA(ISNUMBER(SEARCH("Rending",$L154)),FALSE))), (7-(AA$24-$I154))/6, AND(AA$24-$I154 &gt;=7,NOT(_xlfn.IFNA(ISNUMBER(SEARCH("Rending",$L154)),FALSE))), 0, AA$24-$I154 =7, (7-(AA$24-1-$I154))/6, AA$24-$I154 =8, (7-(AA$24-2-$I154))/6*2/3, AA$24-$I154 =9, (7-(AA$24-3-$I154))/6*1/3, TRUE, 0)) *
IF(ISNUMBER(SEARCH("Ordinance",$L154)),7/6,1) *
IF(OR(ISNUMBER(SEARCH("Melee",$L154)),ISNUMBER(SEARCH("Bypass",$L154))),1.5,1)</f>
        <v>0</v>
      </c>
      <c r="AB154" s="17" cm="1">
        <f t="array" ref="AB154">$H154 *
IF(ISNUMBER(SEARCH("Rapid",$L154)),7/6,1) *
IF(OR(ISNUMBER(SEARCH("Beam",$L154)),ISNUMBER(SEARCH("Firestorm",$L154))),1, IF(ISNUMBER(SEARCH("Blast",$L154)),(4+$F154+(2-$F154)*0.5)/6*2,(4+$F154)/6)) *
IF(ISNUMBER(SEARCH("Fusion",$L154)), _xlfn.IFS(AB$24-$I154 &lt;=1, 9/10, AB$24-$I154 &lt;=10,(11-(AB$24-$I154))/10, AB$24-$I154 &gt;=11, 0),
_xlfn.IFS(AB$24-$I154 &lt;=1, 5/6, AB$24-$I154 &lt;=5, (7-(AB$24-$I154))/6, AND(AB$24-$I154 =6,NOT(_xlfn.IFNA(ISNUMBER(SEARCH("Rending",$L154)),FALSE))), (7-(AB$24-$I154))/6, AND(AB$24-$I154 &gt;=7,NOT(_xlfn.IFNA(ISNUMBER(SEARCH("Rending",$L154)),FALSE))), 0, AB$24-$I154 =7, (7-(AB$24-1-$I154))/6, AB$24-$I154 =8, (7-(AB$24-2-$I154))/6*2/3, AB$24-$I154 =9, (7-(AB$24-3-$I154))/6*1/3, TRUE, 0)) *
IF(ISNUMBER(SEARCH("Ordinance",$L154)),7/6,1) *
IF(OR(ISNUMBER(SEARCH("Melee",$L154)),ISNUMBER(SEARCH("Bypass",$L154))),1.5,1)</f>
        <v>0</v>
      </c>
      <c r="AC154" s="17" cm="1">
        <f t="array" ref="AC154">$H154 *
IF(ISNUMBER(SEARCH("Rapid",$L154)),7/6,1) *
IF(OR(ISNUMBER(SEARCH("Beam",$L154)),ISNUMBER(SEARCH("Firestorm",$L154))),1, IF(ISNUMBER(SEARCH("Blast",$L154)),(4+$F154+(2-$F154)*0.5)/6*2,(4+$F154)/6)) *
IF(ISNUMBER(SEARCH("Fusion",$L154)), _xlfn.IFS(AC$24-$I154 &lt;=1, 9/10, AC$24-$I154 &lt;=10,(11-(AC$24-$I154))/10, AC$24-$I154 &gt;=11, 0),
_xlfn.IFS(AC$24-$I154 &lt;=1, 5/6, AC$24-$I154 &lt;=5, (7-(AC$24-$I154))/6, AND(AC$24-$I154 =6,NOT(_xlfn.IFNA(ISNUMBER(SEARCH("Rending",$L154)),FALSE))), (7-(AC$24-$I154))/6, AND(AC$24-$I154 &gt;=7,NOT(_xlfn.IFNA(ISNUMBER(SEARCH("Rending",$L154)),FALSE))), 0, AC$24-$I154 =7, (7-(AC$24-1-$I154))/6, AC$24-$I154 =8, (7-(AC$24-2-$I154))/6*2/3, AC$24-$I154 =9, (7-(AC$24-3-$I154))/6*1/3, TRUE, 0)) *
IF(ISNUMBER(SEARCH("Ordinance",$L154)),7/6,1) *
IF(OR(ISNUMBER(SEARCH("Melee",$L154)),ISNUMBER(SEARCH("Bypass",$L154))),1.5,1)</f>
        <v>0</v>
      </c>
      <c r="AD154" s="17" cm="1">
        <f t="array" ref="AD154">$H154 *
IF(ISNUMBER(SEARCH("Rapid",$L154)),7/6,1) *
IF(OR(ISNUMBER(SEARCH("Beam",$L154)),ISNUMBER(SEARCH("Firestorm",$L154))),1, IF(ISNUMBER(SEARCH("Blast",$L154)),(4+$F154+(2-$F154)*0.5)/6*2,(4+$F154)/6)) *
IF(ISNUMBER(SEARCH("Fusion",$L154)), _xlfn.IFS(AD$24-$I154 &lt;=1, 9/10, AD$24-$I154 &lt;=10,(11-(AD$24-$I154))/10, AD$24-$I154 &gt;=11, 0),
_xlfn.IFS(AD$24-$I154 &lt;=1, 5/6, AD$24-$I154 &lt;=5, (7-(AD$24-$I154))/6, AND(AD$24-$I154 =6,NOT(_xlfn.IFNA(ISNUMBER(SEARCH("Rending",$L154)),FALSE))), (7-(AD$24-$I154))/6, AND(AD$24-$I154 &gt;=7,NOT(_xlfn.IFNA(ISNUMBER(SEARCH("Rending",$L154)),FALSE))), 0, AD$24-$I154 =7, (7-(AD$24-1-$I154))/6, AD$24-$I154 =8, (7-(AD$24-2-$I154))/6*2/3, AD$24-$I154 =9, (7-(AD$24-3-$I154))/6*1/3, TRUE, 0)) *
IF(ISNUMBER(SEARCH("Ordinance",$L154)),7/6,1) *
IF(OR(ISNUMBER(SEARCH("Melee",$L154)),ISNUMBER(SEARCH("Bypass",$L154))),1.5,1)</f>
        <v>0</v>
      </c>
      <c r="AE154" s="17" cm="1">
        <f t="array" ref="AE154">$H154 *
IF(ISNUMBER(SEARCH("Rapid",$L154)),7/6,1) *
IF(OR(ISNUMBER(SEARCH("Beam",$L154)),ISNUMBER(SEARCH("Firestorm",$L154))),1, IF(ISNUMBER(SEARCH("Blast",$L154)),(4+$F154+(2-$F154)*0.5)/6*2,(4+$F154)/6)) *
IF(ISNUMBER(SEARCH("Fusion",$L154)), _xlfn.IFS(AE$24-$I154 &lt;=1, 9/10, AE$24-$I154 &lt;=10,(11-(AE$24-$I154))/10, AE$24-$I154 &gt;=11, 0),
_xlfn.IFS(AE$24-$I154 &lt;=1, 5/6, AE$24-$I154 &lt;=5, (7-(AE$24-$I154))/6, AND(AE$24-$I154 =6,NOT(_xlfn.IFNA(ISNUMBER(SEARCH("Rending",$L154)),FALSE))), (7-(AE$24-$I154))/6, AND(AE$24-$I154 &gt;=7,NOT(_xlfn.IFNA(ISNUMBER(SEARCH("Rending",$L154)),FALSE))), 0, AE$24-$I154 =7, (7-(AE$24-1-$I154))/6, AE$24-$I154 =8, (7-(AE$24-2-$I154))/6*2/3, AE$24-$I154 =9, (7-(AE$24-3-$I154))/6*1/3, TRUE, 0)) *
IF(ISNUMBER(SEARCH("Ordinance",$L154)),7/6,1) *
IF(OR(ISNUMBER(SEARCH("Melee",$L154)),ISNUMBER(SEARCH("Bypass",$L154))),1.5,1)</f>
        <v>0</v>
      </c>
      <c r="AF154" s="17" cm="1">
        <f t="array" ref="AF154">$H154 *
IF(ISNUMBER(SEARCH("Rapid",$L154)),7/6,1) *
IF(OR(ISNUMBER(SEARCH("Beam",$L154)),ISNUMBER(SEARCH("Firestorm",$L154))),1, IF(ISNUMBER(SEARCH("Blast",$L154)),(4+$F154+(2-$F154)*0.5)/6*2,(4+$F154)/6)) *
IF(ISNUMBER(SEARCH("Fusion",$L154)), _xlfn.IFS(AF$24-$I154 &lt;=1, 9/10, AF$24-$I154 &lt;=10,(11-(AF$24-$I154))/10, AF$24-$I154 &gt;=11, 0),
_xlfn.IFS(AF$24-$I154 &lt;=1, 5/6, AF$24-$I154 &lt;=5, (7-(AF$24-$I154))/6, AND(AF$24-$I154 =6,NOT(_xlfn.IFNA(ISNUMBER(SEARCH("Rending",$L154)),FALSE))), (7-(AF$24-$I154))/6, AND(AF$24-$I154 &gt;=7,NOT(_xlfn.IFNA(ISNUMBER(SEARCH("Rending",$L154)),FALSE))), 0, AF$24-$I154 =7, (7-(AF$24-1-$I154))/6, AF$24-$I154 =8, (7-(AF$24-2-$I154))/6*2/3, AF$24-$I154 =9, (7-(AF$24-3-$I154))/6*1/3, TRUE, 0)) *
IF(ISNUMBER(SEARCH("Ordinance",$L154)),7/6,1) *
IF(OR(ISNUMBER(SEARCH("Melee",$L154)),ISNUMBER(SEARCH("Bypass",$L154))),1.5,1)</f>
        <v>0</v>
      </c>
      <c r="AG154" s="16">
        <f t="shared" si="35"/>
        <v>0</v>
      </c>
      <c r="AH154" s="16">
        <f t="shared" si="36"/>
        <v>0</v>
      </c>
      <c r="AI154" s="17" cm="1">
        <f t="array" ref="AI154">$H154 *
IF(ISNUMBER(SEARCH("Rapid",$L154)),7/6,1) *
IF(OR(ISNUMBER(SEARCH("Beam",$L154)),ISNUMBER(SEARCH("Firestorm",$L154))),1, IF(ISNUMBER(SEARCH("Blast",$L154)),(4+$G154+(2-$G154)*0.5)/6*2,(4+$G154)/6)) *
_xlfn.IFS(AI$24-$I154 &lt;=1, 5/6, AI$24-$I154 &lt;=5, (7-(AI$24-$I154))/6, AND(AI$24-$I154 =6,NOT(_xlfn.IFNA(ISNUMBER(SEARCH("Rending",$L154)),FALSE))), (7-(AI$24-$I154))/6, AND(AI$24-$I154 &gt;=7,NOT(_xlfn.IFNA(ISNUMBER(SEARCH("Rending",$L154)),FALSE))), 0, AI$24-$I154 =7, (7-(AI$24-1-$I154))/6, AI$24-$I154 =8, (7-(AI$24-2-$I154))/6*2/3, AI$24-$I154 =9, (7-(AI$24-3-$I154))/6*1/3, TRUE, 0) *
IF(ISNUMBER(SEARCH("Ordinance",$L154)),7/6,1) *
IF(OR(ISNUMBER(SEARCH("Melee",$L154)),ISNUMBER(SEARCH("Bypass",$L154))),1.5,1)</f>
        <v>0</v>
      </c>
      <c r="AJ154" s="17" cm="1">
        <f t="array" ref="AJ154">$H154 *
IF(ISNUMBER(SEARCH("Rapid",$L154)),7/6,1) *
IF(OR(ISNUMBER(SEARCH("Beam",$L154)),ISNUMBER(SEARCH("Firestorm",$L154))),1, IF(ISNUMBER(SEARCH("Blast",$L154)),(4+$G154+(2-$G154)*0.5)/6*2,(4+$G154)/6)) *
_xlfn.IFS(AJ$24-$I154 &lt;=1, 5/6, AJ$24-$I154 &lt;=5, (7-(AJ$24-$I154))/6, AND(AJ$24-$I154 =6,NOT(_xlfn.IFNA(ISNUMBER(SEARCH("Rending",$L154)),FALSE))), (7-(AJ$24-$I154))/6, AND(AJ$24-$I154 &gt;=7,NOT(_xlfn.IFNA(ISNUMBER(SEARCH("Rending",$L154)),FALSE))), 0, AJ$24-$I154 =7, (7-(AJ$24-1-$I154))/6, AJ$24-$I154 =8, (7-(AJ$24-2-$I154))/6*2/3, AJ$24-$I154 =9, (7-(AJ$24-3-$I154))/6*1/3, TRUE, 0) *
IF(ISNUMBER(SEARCH("Ordinance",$L154)),7/6,1) *
IF(OR(ISNUMBER(SEARCH("Melee",$L154)),ISNUMBER(SEARCH("Bypass",$L154))),1.5,1)</f>
        <v>0</v>
      </c>
      <c r="AK154" s="17" cm="1">
        <f t="array" ref="AK154">$H154 *
IF(ISNUMBER(SEARCH("Rapid",$L154)),7/6,1) *
IF(OR(ISNUMBER(SEARCH("Beam",$L154)),ISNUMBER(SEARCH("Firestorm",$L154))),1, IF(ISNUMBER(SEARCH("Blast",$L154)),(4+$G154+(2-$G154)*0.5)/6*2,(4+$G154)/6)) *
_xlfn.IFS(AK$24-$I154 &lt;=1, 5/6, AK$24-$I154 &lt;=5, (7-(AK$24-$I154))/6, AND(AK$24-$I154 =6,NOT(_xlfn.IFNA(ISNUMBER(SEARCH("Rending",$L154)),FALSE))), (7-(AK$24-$I154))/6, AND(AK$24-$I154 &gt;=7,NOT(_xlfn.IFNA(ISNUMBER(SEARCH("Rending",$L154)),FALSE))), 0, AK$24-$I154 =7, (7-(AK$24-1-$I154))/6, AK$24-$I154 =8, (7-(AK$24-2-$I154))/6*2/3, AK$24-$I154 =9, (7-(AK$24-3-$I154))/6*1/3, TRUE, 0) *
IF(ISNUMBER(SEARCH("Ordinance",$L154)),7/6,1) *
IF(OR(ISNUMBER(SEARCH("Melee",$L154)),ISNUMBER(SEARCH("Bypass",$L154))),1.5,1)</f>
        <v>0</v>
      </c>
      <c r="AL154" s="17" cm="1">
        <f t="array" ref="AL154">$H154 *
IF(ISNUMBER(SEARCH("Rapid",$L154)),7/6,1) *
IF(OR(ISNUMBER(SEARCH("Beam",$L154)),ISNUMBER(SEARCH("Firestorm",$L154))),1, IF(ISNUMBER(SEARCH("Blast",$L154)),(4+$G154+(2-$G154)*0.5)/6*2,(4+$G154)/6)) *
_xlfn.IFS(AL$24-$I154 &lt;=1, 5/6, AL$24-$I154 &lt;=5, (7-(AL$24-$I154))/6, AND(AL$24-$I154 =6,NOT(_xlfn.IFNA(ISNUMBER(SEARCH("Rending",$L154)),FALSE))), (7-(AL$24-$I154))/6, AND(AL$24-$I154 &gt;=7,NOT(_xlfn.IFNA(ISNUMBER(SEARCH("Rending",$L154)),FALSE))), 0, AL$24-$I154 =7, (7-(AL$24-1-$I154))/6, AL$24-$I154 =8, (7-(AL$24-2-$I154))/6*2/3, AL$24-$I154 =9, (7-(AL$24-3-$I154))/6*1/3, TRUE, 0) *
IF(ISNUMBER(SEARCH("Ordinance",$L154)),7/6,1) *
IF(OR(ISNUMBER(SEARCH("Melee",$L154)),ISNUMBER(SEARCH("Bypass",$L154))),1.5,1)</f>
        <v>0</v>
      </c>
      <c r="AM154" s="17" cm="1">
        <f t="array" ref="AM154">$H154 *
IF(ISNUMBER(SEARCH("Rapid",$L154)),7/6,1) *
IF(OR(ISNUMBER(SEARCH("Beam",$L154)),ISNUMBER(SEARCH("Firestorm",$L154))),1, IF(ISNUMBER(SEARCH("Blast",$L154)),(4+$G154+(2-$G154)*0.5)/6*2,(4+$G154)/6)) *
_xlfn.IFS(AM$24-$I154 &lt;=1, 5/6, AM$24-$I154 &lt;=5, (7-(AM$24-$I154))/6, AND(AM$24-$I154 =6,NOT(_xlfn.IFNA(ISNUMBER(SEARCH("Rending",$L154)),FALSE))), (7-(AM$24-$I154))/6, AND(AM$24-$I154 &gt;=7,NOT(_xlfn.IFNA(ISNUMBER(SEARCH("Rending",$L154)),FALSE))), 0, AM$24-$I154 =7, (7-(AM$24-1-$I154))/6, AM$24-$I154 =8, (7-(AM$24-2-$I154))/6*2/3, AM$24-$I154 =9, (7-(AM$24-3-$I154))/6*1/3, TRUE, 0) *
IF(ISNUMBER(SEARCH("Ordinance",$L154)),7/6,1) *
IF(OR(ISNUMBER(SEARCH("Melee",$L154)),ISNUMBER(SEARCH("Bypass",$L154))),1.5,1)</f>
        <v>0</v>
      </c>
      <c r="AN154" s="17" cm="1">
        <f t="array" ref="AN154">$H154 *
IF(ISNUMBER(SEARCH("Rapid",$L154)),7/6,1) *
IF(OR(ISNUMBER(SEARCH("Beam",$L154)),ISNUMBER(SEARCH("Firestorm",$L154))),1, IF(ISNUMBER(SEARCH("Blast",$L154)),(4+$G154+(2-$G154)*0.5)/6*2,(4+$G154)/6)) *
_xlfn.IFS(AN$24-$I154 &lt;=1, 5/6, AN$24-$I154 &lt;=5, (7-(AN$24-$I154))/6, AND(AN$24-$I154 =6,NOT(_xlfn.IFNA(ISNUMBER(SEARCH("Rending",$L154)),FALSE))), (7-(AN$24-$I154))/6, AND(AN$24-$I154 &gt;=7,NOT(_xlfn.IFNA(ISNUMBER(SEARCH("Rending",$L154)),FALSE))), 0, AN$24-$I154 =7, (7-(AN$24-1-$I154))/6, AN$24-$I154 =8, (7-(AN$24-2-$I154))/6*2/3, AN$24-$I154 =9, (7-(AN$24-3-$I154))/6*1/3, TRUE, 0) *
IF(ISNUMBER(SEARCH("Ordinance",$L154)),7/6,1) *
IF(OR(ISNUMBER(SEARCH("Melee",$L154)),ISNUMBER(SEARCH("Bypass",$L154))),1.5,1)</f>
        <v>0</v>
      </c>
      <c r="AO154" s="17" cm="1">
        <f t="array" ref="AO154">$H154 *
IF(ISNUMBER(SEARCH("Rapid",$L154)),7/6,1) *
IF(OR(ISNUMBER(SEARCH("Beam",$L154)),ISNUMBER(SEARCH("Firestorm",$L154))),1, IF(ISNUMBER(SEARCH("Blast",$L154)),(4+$G154+(2-$G154)*0.5)/6*2,(4+$G154)/6)) *
_xlfn.IFS(AO$24-$I154 &lt;=1, 5/6, AO$24-$I154 &lt;=5, (7-(AO$24-$I154))/6, AND(AO$24-$I154 =6,NOT(_xlfn.IFNA(ISNUMBER(SEARCH("Rending",$L154)),FALSE))), (7-(AO$24-$I154))/6, AND(AO$24-$I154 &gt;=7,NOT(_xlfn.IFNA(ISNUMBER(SEARCH("Rending",$L154)),FALSE))), 0, AO$24-$I154 =7, (7-(AO$24-1-$I154))/6, AO$24-$I154 =8, (7-(AO$24-2-$I154))/6*2/3, AO$24-$I154 =9, (7-(AO$24-3-$I154))/6*1/3, TRUE, 0) *
IF(ISNUMBER(SEARCH("Ordinance",$L154)),7/6,1) *
IF(OR(ISNUMBER(SEARCH("Melee",$L154)),ISNUMBER(SEARCH("Bypass",$L154))),1.5,1)</f>
        <v>0</v>
      </c>
      <c r="AP154" s="17" cm="1">
        <f t="array" ref="AP154">$H154 *
IF(ISNUMBER(SEARCH("Rapid",$L154)),7/6,1) *
IF(OR(ISNUMBER(SEARCH("Beam",$L154)),ISNUMBER(SEARCH("Firestorm",$L154))),1, IF(ISNUMBER(SEARCH("Blast",$L154)),(4+$G154+(2-$G154)*0.5)/6*2,(4+$G154)/6)) *
_xlfn.IFS(AP$24-$I154 &lt;=1, 5/6, AP$24-$I154 &lt;=5, (7-(AP$24-$I154))/6, AND(AP$24-$I154 =6,NOT(_xlfn.IFNA(ISNUMBER(SEARCH("Rending",$L154)),FALSE))), (7-(AP$24-$I154))/6, AND(AP$24-$I154 &gt;=7,NOT(_xlfn.IFNA(ISNUMBER(SEARCH("Rending",$L154)),FALSE))), 0, AP$24-$I154 =7, (7-(AP$24-1-$I154))/6, AP$24-$I154 =8, (7-(AP$24-2-$I154))/6*2/3, AP$24-$I154 =9, (7-(AP$24-3-$I154))/6*1/3, TRUE, 0) *
IF(ISNUMBER(SEARCH("Ordinance",$L154)),7/6,1) *
IF(OR(ISNUMBER(SEARCH("Melee",$L154)),ISNUMBER(SEARCH("Bypass",$L154))),1.5,1)</f>
        <v>0</v>
      </c>
      <c r="AQ154" s="17" cm="1">
        <f t="array" ref="AQ154">$H154 *
IF(ISNUMBER(SEARCH("Rapid",$L154)),7/6,1) *
IF(OR(ISNUMBER(SEARCH("Beam",$L154)),ISNUMBER(SEARCH("Firestorm",$L154))),1, IF(ISNUMBER(SEARCH("Blast",$L154)),(4+$G154+(2-$G154)*0.5)/6*2,(4+$G154)/6)) *
_xlfn.IFS(AQ$24-$I154 &lt;=1, 5/6, AQ$24-$I154 &lt;=5, (7-(AQ$24-$I154))/6, AND(AQ$24-$I154 =6,NOT(_xlfn.IFNA(ISNUMBER(SEARCH("Rending",$L154)),FALSE))), (7-(AQ$24-$I154))/6, AND(AQ$24-$I154 &gt;=7,NOT(_xlfn.IFNA(ISNUMBER(SEARCH("Rending",$L154)),FALSE))), 0, AQ$24-$I154 =7, (7-(AQ$24-1-$I154))/6, AQ$24-$I154 =8, (7-(AQ$24-2-$I154))/6*2/3, AQ$24-$I154 =9, (7-(AQ$24-3-$I154))/6*1/3, TRUE, 0) *
IF(ISNUMBER(SEARCH("Ordinance",$L154)),7/6,1) *
IF(OR(ISNUMBER(SEARCH("Melee",$L154)),ISNUMBER(SEARCH("Bypass",$L154))),1.5,1)</f>
        <v>0</v>
      </c>
    </row>
    <row r="155" spans="1:48" x14ac:dyDescent="0.3">
      <c r="F155" s="10"/>
      <c r="G155" s="10"/>
      <c r="V155" s="16">
        <f t="shared" si="33"/>
        <v>0</v>
      </c>
      <c r="W155" s="16">
        <f t="shared" si="34"/>
        <v>0</v>
      </c>
      <c r="X155" s="17" cm="1">
        <f t="array" ref="X155">$H155 *
IF(ISNUMBER(SEARCH("Rapid",$L155)),7/6,1) *
IF(OR(ISNUMBER(SEARCH("Beam",$L155)),ISNUMBER(SEARCH("Firestorm",$L155))),1, IF(ISNUMBER(SEARCH("Blast",$L155)),(4+$F155+(2-$F155)*0.5)/6*2,(4+$F155)/6)) *
IF(ISNUMBER(SEARCH("Fusion",$L155)), _xlfn.IFS(X$24-$I155 &lt;=1, 9/10, X$24-$I155 &lt;=10,(11-(X$24-$I155))/10, X$24-$I155 &gt;=11, 0),
_xlfn.IFS(X$24-$I155 &lt;=1, 5/6, X$24-$I155 &lt;=5, (7-(X$24-$I155))/6, AND(X$24-$I155 =6,NOT(_xlfn.IFNA(ISNUMBER(SEARCH("Rending",$L155)),FALSE))), (7-(X$24-$I155))/6, AND(X$24-$I155 &gt;=7,NOT(_xlfn.IFNA(ISNUMBER(SEARCH("Rending",$L155)),FALSE))), 0, X$24-$I155 =7, (7-(X$24-1-$I155))/6, X$24-$I155 =8, (7-(X$24-2-$I155))/6*2/3, X$24-$I155 =9, (7-(X$24-3-$I155))/6*1/3, TRUE, 0)) *
IF(ISNUMBER(SEARCH("Ordinance",$L155)),7/6,1) *
IF(OR(ISNUMBER(SEARCH("Melee",$L155)),ISNUMBER(SEARCH("Bypass",$L155))),1.5,1)</f>
        <v>0</v>
      </c>
      <c r="Y155" s="17" cm="1">
        <f t="array" ref="Y155">$H155 *
IF(ISNUMBER(SEARCH("Rapid",$L155)),7/6,1) *
IF(OR(ISNUMBER(SEARCH("Beam",$L155)),ISNUMBER(SEARCH("Firestorm",$L155))),1, IF(ISNUMBER(SEARCH("Blast",$L155)),(4+$F155+(2-$F155)*0.5)/6*2,(4+$F155)/6)) *
IF(ISNUMBER(SEARCH("Fusion",$L155)), _xlfn.IFS(Y$24-$I155 &lt;=1, 9/10, Y$24-$I155 &lt;=10,(11-(Y$24-$I155))/10, Y$24-$I155 &gt;=11, 0),
_xlfn.IFS(Y$24-$I155 &lt;=1, 5/6, Y$24-$I155 &lt;=5, (7-(Y$24-$I155))/6, AND(Y$24-$I155 =6,NOT(_xlfn.IFNA(ISNUMBER(SEARCH("Rending",$L155)),FALSE))), (7-(Y$24-$I155))/6, AND(Y$24-$I155 &gt;=7,NOT(_xlfn.IFNA(ISNUMBER(SEARCH("Rending",$L155)),FALSE))), 0, Y$24-$I155 =7, (7-(Y$24-1-$I155))/6, Y$24-$I155 =8, (7-(Y$24-2-$I155))/6*2/3, Y$24-$I155 =9, (7-(Y$24-3-$I155))/6*1/3, TRUE, 0)) *
IF(ISNUMBER(SEARCH("Ordinance",$L155)),7/6,1) *
IF(OR(ISNUMBER(SEARCH("Melee",$L155)),ISNUMBER(SEARCH("Bypass",$L155))),1.5,1)</f>
        <v>0</v>
      </c>
      <c r="Z155" s="17" cm="1">
        <f t="array" ref="Z155">$H155 *
IF(ISNUMBER(SEARCH("Rapid",$L155)),7/6,1) *
IF(OR(ISNUMBER(SEARCH("Beam",$L155)),ISNUMBER(SEARCH("Firestorm",$L155))),1, IF(ISNUMBER(SEARCH("Blast",$L155)),(4+$F155+(2-$F155)*0.5)/6*2,(4+$F155)/6)) *
IF(ISNUMBER(SEARCH("Fusion",$L155)), _xlfn.IFS(Z$24-$I155 &lt;=1, 9/10, Z$24-$I155 &lt;=10,(11-(Z$24-$I155))/10, Z$24-$I155 &gt;=11, 0),
_xlfn.IFS(Z$24-$I155 &lt;=1, 5/6, Z$24-$I155 &lt;=5, (7-(Z$24-$I155))/6, AND(Z$24-$I155 =6,NOT(_xlfn.IFNA(ISNUMBER(SEARCH("Rending",$L155)),FALSE))), (7-(Z$24-$I155))/6, AND(Z$24-$I155 &gt;=7,NOT(_xlfn.IFNA(ISNUMBER(SEARCH("Rending",$L155)),FALSE))), 0, Z$24-$I155 =7, (7-(Z$24-1-$I155))/6, Z$24-$I155 =8, (7-(Z$24-2-$I155))/6*2/3, Z$24-$I155 =9, (7-(Z$24-3-$I155))/6*1/3, TRUE, 0)) *
IF(ISNUMBER(SEARCH("Ordinance",$L155)),7/6,1) *
IF(OR(ISNUMBER(SEARCH("Melee",$L155)),ISNUMBER(SEARCH("Bypass",$L155))),1.5,1)</f>
        <v>0</v>
      </c>
      <c r="AA155" s="17" cm="1">
        <f t="array" ref="AA155">$H155 *
IF(ISNUMBER(SEARCH("Rapid",$L155)),7/6,1) *
IF(OR(ISNUMBER(SEARCH("Beam",$L155)),ISNUMBER(SEARCH("Firestorm",$L155))),1, IF(ISNUMBER(SEARCH("Blast",$L155)),(4+$F155+(2-$F155)*0.5)/6*2,(4+$F155)/6)) *
IF(ISNUMBER(SEARCH("Fusion",$L155)), _xlfn.IFS(AA$24-$I155 &lt;=1, 9/10, AA$24-$I155 &lt;=10,(11-(AA$24-$I155))/10, AA$24-$I155 &gt;=11, 0),
_xlfn.IFS(AA$24-$I155 &lt;=1, 5/6, AA$24-$I155 &lt;=5, (7-(AA$24-$I155))/6, AND(AA$24-$I155 =6,NOT(_xlfn.IFNA(ISNUMBER(SEARCH("Rending",$L155)),FALSE))), (7-(AA$24-$I155))/6, AND(AA$24-$I155 &gt;=7,NOT(_xlfn.IFNA(ISNUMBER(SEARCH("Rending",$L155)),FALSE))), 0, AA$24-$I155 =7, (7-(AA$24-1-$I155))/6, AA$24-$I155 =8, (7-(AA$24-2-$I155))/6*2/3, AA$24-$I155 =9, (7-(AA$24-3-$I155))/6*1/3, TRUE, 0)) *
IF(ISNUMBER(SEARCH("Ordinance",$L155)),7/6,1) *
IF(OR(ISNUMBER(SEARCH("Melee",$L155)),ISNUMBER(SEARCH("Bypass",$L155))),1.5,1)</f>
        <v>0</v>
      </c>
      <c r="AB155" s="17" cm="1">
        <f t="array" ref="AB155">$H155 *
IF(ISNUMBER(SEARCH("Rapid",$L155)),7/6,1) *
IF(OR(ISNUMBER(SEARCH("Beam",$L155)),ISNUMBER(SEARCH("Firestorm",$L155))),1, IF(ISNUMBER(SEARCH("Blast",$L155)),(4+$F155+(2-$F155)*0.5)/6*2,(4+$F155)/6)) *
IF(ISNUMBER(SEARCH("Fusion",$L155)), _xlfn.IFS(AB$24-$I155 &lt;=1, 9/10, AB$24-$I155 &lt;=10,(11-(AB$24-$I155))/10, AB$24-$I155 &gt;=11, 0),
_xlfn.IFS(AB$24-$I155 &lt;=1, 5/6, AB$24-$I155 &lt;=5, (7-(AB$24-$I155))/6, AND(AB$24-$I155 =6,NOT(_xlfn.IFNA(ISNUMBER(SEARCH("Rending",$L155)),FALSE))), (7-(AB$24-$I155))/6, AND(AB$24-$I155 &gt;=7,NOT(_xlfn.IFNA(ISNUMBER(SEARCH("Rending",$L155)),FALSE))), 0, AB$24-$I155 =7, (7-(AB$24-1-$I155))/6, AB$24-$I155 =8, (7-(AB$24-2-$I155))/6*2/3, AB$24-$I155 =9, (7-(AB$24-3-$I155))/6*1/3, TRUE, 0)) *
IF(ISNUMBER(SEARCH("Ordinance",$L155)),7/6,1) *
IF(OR(ISNUMBER(SEARCH("Melee",$L155)),ISNUMBER(SEARCH("Bypass",$L155))),1.5,1)</f>
        <v>0</v>
      </c>
      <c r="AC155" s="17" cm="1">
        <f t="array" ref="AC155">$H155 *
IF(ISNUMBER(SEARCH("Rapid",$L155)),7/6,1) *
IF(OR(ISNUMBER(SEARCH("Beam",$L155)),ISNUMBER(SEARCH("Firestorm",$L155))),1, IF(ISNUMBER(SEARCH("Blast",$L155)),(4+$F155+(2-$F155)*0.5)/6*2,(4+$F155)/6)) *
IF(ISNUMBER(SEARCH("Fusion",$L155)), _xlfn.IFS(AC$24-$I155 &lt;=1, 9/10, AC$24-$I155 &lt;=10,(11-(AC$24-$I155))/10, AC$24-$I155 &gt;=11, 0),
_xlfn.IFS(AC$24-$I155 &lt;=1, 5/6, AC$24-$I155 &lt;=5, (7-(AC$24-$I155))/6, AND(AC$24-$I155 =6,NOT(_xlfn.IFNA(ISNUMBER(SEARCH("Rending",$L155)),FALSE))), (7-(AC$24-$I155))/6, AND(AC$24-$I155 &gt;=7,NOT(_xlfn.IFNA(ISNUMBER(SEARCH("Rending",$L155)),FALSE))), 0, AC$24-$I155 =7, (7-(AC$24-1-$I155))/6, AC$24-$I155 =8, (7-(AC$24-2-$I155))/6*2/3, AC$24-$I155 =9, (7-(AC$24-3-$I155))/6*1/3, TRUE, 0)) *
IF(ISNUMBER(SEARCH("Ordinance",$L155)),7/6,1) *
IF(OR(ISNUMBER(SEARCH("Melee",$L155)),ISNUMBER(SEARCH("Bypass",$L155))),1.5,1)</f>
        <v>0</v>
      </c>
      <c r="AD155" s="17" cm="1">
        <f t="array" ref="AD155">$H155 *
IF(ISNUMBER(SEARCH("Rapid",$L155)),7/6,1) *
IF(OR(ISNUMBER(SEARCH("Beam",$L155)),ISNUMBER(SEARCH("Firestorm",$L155))),1, IF(ISNUMBER(SEARCH("Blast",$L155)),(4+$F155+(2-$F155)*0.5)/6*2,(4+$F155)/6)) *
IF(ISNUMBER(SEARCH("Fusion",$L155)), _xlfn.IFS(AD$24-$I155 &lt;=1, 9/10, AD$24-$I155 &lt;=10,(11-(AD$24-$I155))/10, AD$24-$I155 &gt;=11, 0),
_xlfn.IFS(AD$24-$I155 &lt;=1, 5/6, AD$24-$I155 &lt;=5, (7-(AD$24-$I155))/6, AND(AD$24-$I155 =6,NOT(_xlfn.IFNA(ISNUMBER(SEARCH("Rending",$L155)),FALSE))), (7-(AD$24-$I155))/6, AND(AD$24-$I155 &gt;=7,NOT(_xlfn.IFNA(ISNUMBER(SEARCH("Rending",$L155)),FALSE))), 0, AD$24-$I155 =7, (7-(AD$24-1-$I155))/6, AD$24-$I155 =8, (7-(AD$24-2-$I155))/6*2/3, AD$24-$I155 =9, (7-(AD$24-3-$I155))/6*1/3, TRUE, 0)) *
IF(ISNUMBER(SEARCH("Ordinance",$L155)),7/6,1) *
IF(OR(ISNUMBER(SEARCH("Melee",$L155)),ISNUMBER(SEARCH("Bypass",$L155))),1.5,1)</f>
        <v>0</v>
      </c>
      <c r="AE155" s="17" cm="1">
        <f t="array" ref="AE155">$H155 *
IF(ISNUMBER(SEARCH("Rapid",$L155)),7/6,1) *
IF(OR(ISNUMBER(SEARCH("Beam",$L155)),ISNUMBER(SEARCH("Firestorm",$L155))),1, IF(ISNUMBER(SEARCH("Blast",$L155)),(4+$F155+(2-$F155)*0.5)/6*2,(4+$F155)/6)) *
IF(ISNUMBER(SEARCH("Fusion",$L155)), _xlfn.IFS(AE$24-$I155 &lt;=1, 9/10, AE$24-$I155 &lt;=10,(11-(AE$24-$I155))/10, AE$24-$I155 &gt;=11, 0),
_xlfn.IFS(AE$24-$I155 &lt;=1, 5/6, AE$24-$I155 &lt;=5, (7-(AE$24-$I155))/6, AND(AE$24-$I155 =6,NOT(_xlfn.IFNA(ISNUMBER(SEARCH("Rending",$L155)),FALSE))), (7-(AE$24-$I155))/6, AND(AE$24-$I155 &gt;=7,NOT(_xlfn.IFNA(ISNUMBER(SEARCH("Rending",$L155)),FALSE))), 0, AE$24-$I155 =7, (7-(AE$24-1-$I155))/6, AE$24-$I155 =8, (7-(AE$24-2-$I155))/6*2/3, AE$24-$I155 =9, (7-(AE$24-3-$I155))/6*1/3, TRUE, 0)) *
IF(ISNUMBER(SEARCH("Ordinance",$L155)),7/6,1) *
IF(OR(ISNUMBER(SEARCH("Melee",$L155)),ISNUMBER(SEARCH("Bypass",$L155))),1.5,1)</f>
        <v>0</v>
      </c>
      <c r="AF155" s="17" cm="1">
        <f t="array" ref="AF155">$H155 *
IF(ISNUMBER(SEARCH("Rapid",$L155)),7/6,1) *
IF(OR(ISNUMBER(SEARCH("Beam",$L155)),ISNUMBER(SEARCH("Firestorm",$L155))),1, IF(ISNUMBER(SEARCH("Blast",$L155)),(4+$F155+(2-$F155)*0.5)/6*2,(4+$F155)/6)) *
IF(ISNUMBER(SEARCH("Fusion",$L155)), _xlfn.IFS(AF$24-$I155 &lt;=1, 9/10, AF$24-$I155 &lt;=10,(11-(AF$24-$I155))/10, AF$24-$I155 &gt;=11, 0),
_xlfn.IFS(AF$24-$I155 &lt;=1, 5/6, AF$24-$I155 &lt;=5, (7-(AF$24-$I155))/6, AND(AF$24-$I155 =6,NOT(_xlfn.IFNA(ISNUMBER(SEARCH("Rending",$L155)),FALSE))), (7-(AF$24-$I155))/6, AND(AF$24-$I155 &gt;=7,NOT(_xlfn.IFNA(ISNUMBER(SEARCH("Rending",$L155)),FALSE))), 0, AF$24-$I155 =7, (7-(AF$24-1-$I155))/6, AF$24-$I155 =8, (7-(AF$24-2-$I155))/6*2/3, AF$24-$I155 =9, (7-(AF$24-3-$I155))/6*1/3, TRUE, 0)) *
IF(ISNUMBER(SEARCH("Ordinance",$L155)),7/6,1) *
IF(OR(ISNUMBER(SEARCH("Melee",$L155)),ISNUMBER(SEARCH("Bypass",$L155))),1.5,1)</f>
        <v>0</v>
      </c>
      <c r="AG155" s="16">
        <f t="shared" si="35"/>
        <v>0</v>
      </c>
      <c r="AH155" s="16">
        <f t="shared" si="36"/>
        <v>0</v>
      </c>
      <c r="AI155" s="17" cm="1">
        <f t="array" ref="AI155">$H155 *
IF(ISNUMBER(SEARCH("Rapid",$L155)),7/6,1) *
IF(OR(ISNUMBER(SEARCH("Beam",$L155)),ISNUMBER(SEARCH("Firestorm",$L155))),1, IF(ISNUMBER(SEARCH("Blast",$L155)),(4+$G155+(2-$G155)*0.5)/6*2,(4+$G155)/6)) *
_xlfn.IFS(AI$24-$I155 &lt;=1, 5/6, AI$24-$I155 &lt;=5, (7-(AI$24-$I155))/6, AND(AI$24-$I155 =6,NOT(_xlfn.IFNA(ISNUMBER(SEARCH("Rending",$L155)),FALSE))), (7-(AI$24-$I155))/6, AND(AI$24-$I155 &gt;=7,NOT(_xlfn.IFNA(ISNUMBER(SEARCH("Rending",$L155)),FALSE))), 0, AI$24-$I155 =7, (7-(AI$24-1-$I155))/6, AI$24-$I155 =8, (7-(AI$24-2-$I155))/6*2/3, AI$24-$I155 =9, (7-(AI$24-3-$I155))/6*1/3, TRUE, 0) *
IF(ISNUMBER(SEARCH("Ordinance",$L155)),7/6,1) *
IF(OR(ISNUMBER(SEARCH("Melee",$L155)),ISNUMBER(SEARCH("Bypass",$L155))),1.5,1)</f>
        <v>0</v>
      </c>
      <c r="AJ155" s="17" cm="1">
        <f t="array" ref="AJ155">$H155 *
IF(ISNUMBER(SEARCH("Rapid",$L155)),7/6,1) *
IF(OR(ISNUMBER(SEARCH("Beam",$L155)),ISNUMBER(SEARCH("Firestorm",$L155))),1, IF(ISNUMBER(SEARCH("Blast",$L155)),(4+$G155+(2-$G155)*0.5)/6*2,(4+$G155)/6)) *
_xlfn.IFS(AJ$24-$I155 &lt;=1, 5/6, AJ$24-$I155 &lt;=5, (7-(AJ$24-$I155))/6, AND(AJ$24-$I155 =6,NOT(_xlfn.IFNA(ISNUMBER(SEARCH("Rending",$L155)),FALSE))), (7-(AJ$24-$I155))/6, AND(AJ$24-$I155 &gt;=7,NOT(_xlfn.IFNA(ISNUMBER(SEARCH("Rending",$L155)),FALSE))), 0, AJ$24-$I155 =7, (7-(AJ$24-1-$I155))/6, AJ$24-$I155 =8, (7-(AJ$24-2-$I155))/6*2/3, AJ$24-$I155 =9, (7-(AJ$24-3-$I155))/6*1/3, TRUE, 0) *
IF(ISNUMBER(SEARCH("Ordinance",$L155)),7/6,1) *
IF(OR(ISNUMBER(SEARCH("Melee",$L155)),ISNUMBER(SEARCH("Bypass",$L155))),1.5,1)</f>
        <v>0</v>
      </c>
      <c r="AK155" s="17" cm="1">
        <f t="array" ref="AK155">$H155 *
IF(ISNUMBER(SEARCH("Rapid",$L155)),7/6,1) *
IF(OR(ISNUMBER(SEARCH("Beam",$L155)),ISNUMBER(SEARCH("Firestorm",$L155))),1, IF(ISNUMBER(SEARCH("Blast",$L155)),(4+$G155+(2-$G155)*0.5)/6*2,(4+$G155)/6)) *
_xlfn.IFS(AK$24-$I155 &lt;=1, 5/6, AK$24-$I155 &lt;=5, (7-(AK$24-$I155))/6, AND(AK$24-$I155 =6,NOT(_xlfn.IFNA(ISNUMBER(SEARCH("Rending",$L155)),FALSE))), (7-(AK$24-$I155))/6, AND(AK$24-$I155 &gt;=7,NOT(_xlfn.IFNA(ISNUMBER(SEARCH("Rending",$L155)),FALSE))), 0, AK$24-$I155 =7, (7-(AK$24-1-$I155))/6, AK$24-$I155 =8, (7-(AK$24-2-$I155))/6*2/3, AK$24-$I155 =9, (7-(AK$24-3-$I155))/6*1/3, TRUE, 0) *
IF(ISNUMBER(SEARCH("Ordinance",$L155)),7/6,1) *
IF(OR(ISNUMBER(SEARCH("Melee",$L155)),ISNUMBER(SEARCH("Bypass",$L155))),1.5,1)</f>
        <v>0</v>
      </c>
      <c r="AL155" s="17" cm="1">
        <f t="array" ref="AL155">$H155 *
IF(ISNUMBER(SEARCH("Rapid",$L155)),7/6,1) *
IF(OR(ISNUMBER(SEARCH("Beam",$L155)),ISNUMBER(SEARCH("Firestorm",$L155))),1, IF(ISNUMBER(SEARCH("Blast",$L155)),(4+$G155+(2-$G155)*0.5)/6*2,(4+$G155)/6)) *
_xlfn.IFS(AL$24-$I155 &lt;=1, 5/6, AL$24-$I155 &lt;=5, (7-(AL$24-$I155))/6, AND(AL$24-$I155 =6,NOT(_xlfn.IFNA(ISNUMBER(SEARCH("Rending",$L155)),FALSE))), (7-(AL$24-$I155))/6, AND(AL$24-$I155 &gt;=7,NOT(_xlfn.IFNA(ISNUMBER(SEARCH("Rending",$L155)),FALSE))), 0, AL$24-$I155 =7, (7-(AL$24-1-$I155))/6, AL$24-$I155 =8, (7-(AL$24-2-$I155))/6*2/3, AL$24-$I155 =9, (7-(AL$24-3-$I155))/6*1/3, TRUE, 0) *
IF(ISNUMBER(SEARCH("Ordinance",$L155)),7/6,1) *
IF(OR(ISNUMBER(SEARCH("Melee",$L155)),ISNUMBER(SEARCH("Bypass",$L155))),1.5,1)</f>
        <v>0</v>
      </c>
      <c r="AM155" s="17" cm="1">
        <f t="array" ref="AM155">$H155 *
IF(ISNUMBER(SEARCH("Rapid",$L155)),7/6,1) *
IF(OR(ISNUMBER(SEARCH("Beam",$L155)),ISNUMBER(SEARCH("Firestorm",$L155))),1, IF(ISNUMBER(SEARCH("Blast",$L155)),(4+$G155+(2-$G155)*0.5)/6*2,(4+$G155)/6)) *
_xlfn.IFS(AM$24-$I155 &lt;=1, 5/6, AM$24-$I155 &lt;=5, (7-(AM$24-$I155))/6, AND(AM$24-$I155 =6,NOT(_xlfn.IFNA(ISNUMBER(SEARCH("Rending",$L155)),FALSE))), (7-(AM$24-$I155))/6, AND(AM$24-$I155 &gt;=7,NOT(_xlfn.IFNA(ISNUMBER(SEARCH("Rending",$L155)),FALSE))), 0, AM$24-$I155 =7, (7-(AM$24-1-$I155))/6, AM$24-$I155 =8, (7-(AM$24-2-$I155))/6*2/3, AM$24-$I155 =9, (7-(AM$24-3-$I155))/6*1/3, TRUE, 0) *
IF(ISNUMBER(SEARCH("Ordinance",$L155)),7/6,1) *
IF(OR(ISNUMBER(SEARCH("Melee",$L155)),ISNUMBER(SEARCH("Bypass",$L155))),1.5,1)</f>
        <v>0</v>
      </c>
      <c r="AN155" s="17" cm="1">
        <f t="array" ref="AN155">$H155 *
IF(ISNUMBER(SEARCH("Rapid",$L155)),7/6,1) *
IF(OR(ISNUMBER(SEARCH("Beam",$L155)),ISNUMBER(SEARCH("Firestorm",$L155))),1, IF(ISNUMBER(SEARCH("Blast",$L155)),(4+$G155+(2-$G155)*0.5)/6*2,(4+$G155)/6)) *
_xlfn.IFS(AN$24-$I155 &lt;=1, 5/6, AN$24-$I155 &lt;=5, (7-(AN$24-$I155))/6, AND(AN$24-$I155 =6,NOT(_xlfn.IFNA(ISNUMBER(SEARCH("Rending",$L155)),FALSE))), (7-(AN$24-$I155))/6, AND(AN$24-$I155 &gt;=7,NOT(_xlfn.IFNA(ISNUMBER(SEARCH("Rending",$L155)),FALSE))), 0, AN$24-$I155 =7, (7-(AN$24-1-$I155))/6, AN$24-$I155 =8, (7-(AN$24-2-$I155))/6*2/3, AN$24-$I155 =9, (7-(AN$24-3-$I155))/6*1/3, TRUE, 0) *
IF(ISNUMBER(SEARCH("Ordinance",$L155)),7/6,1) *
IF(OR(ISNUMBER(SEARCH("Melee",$L155)),ISNUMBER(SEARCH("Bypass",$L155))),1.5,1)</f>
        <v>0</v>
      </c>
      <c r="AO155" s="17" cm="1">
        <f t="array" ref="AO155">$H155 *
IF(ISNUMBER(SEARCH("Rapid",$L155)),7/6,1) *
IF(OR(ISNUMBER(SEARCH("Beam",$L155)),ISNUMBER(SEARCH("Firestorm",$L155))),1, IF(ISNUMBER(SEARCH("Blast",$L155)),(4+$G155+(2-$G155)*0.5)/6*2,(4+$G155)/6)) *
_xlfn.IFS(AO$24-$I155 &lt;=1, 5/6, AO$24-$I155 &lt;=5, (7-(AO$24-$I155))/6, AND(AO$24-$I155 =6,NOT(_xlfn.IFNA(ISNUMBER(SEARCH("Rending",$L155)),FALSE))), (7-(AO$24-$I155))/6, AND(AO$24-$I155 &gt;=7,NOT(_xlfn.IFNA(ISNUMBER(SEARCH("Rending",$L155)),FALSE))), 0, AO$24-$I155 =7, (7-(AO$24-1-$I155))/6, AO$24-$I155 =8, (7-(AO$24-2-$I155))/6*2/3, AO$24-$I155 =9, (7-(AO$24-3-$I155))/6*1/3, TRUE, 0) *
IF(ISNUMBER(SEARCH("Ordinance",$L155)),7/6,1) *
IF(OR(ISNUMBER(SEARCH("Melee",$L155)),ISNUMBER(SEARCH("Bypass",$L155))),1.5,1)</f>
        <v>0</v>
      </c>
      <c r="AP155" s="17" cm="1">
        <f t="array" ref="AP155">$H155 *
IF(ISNUMBER(SEARCH("Rapid",$L155)),7/6,1) *
IF(OR(ISNUMBER(SEARCH("Beam",$L155)),ISNUMBER(SEARCH("Firestorm",$L155))),1, IF(ISNUMBER(SEARCH("Blast",$L155)),(4+$G155+(2-$G155)*0.5)/6*2,(4+$G155)/6)) *
_xlfn.IFS(AP$24-$I155 &lt;=1, 5/6, AP$24-$I155 &lt;=5, (7-(AP$24-$I155))/6, AND(AP$24-$I155 =6,NOT(_xlfn.IFNA(ISNUMBER(SEARCH("Rending",$L155)),FALSE))), (7-(AP$24-$I155))/6, AND(AP$24-$I155 &gt;=7,NOT(_xlfn.IFNA(ISNUMBER(SEARCH("Rending",$L155)),FALSE))), 0, AP$24-$I155 =7, (7-(AP$24-1-$I155))/6, AP$24-$I155 =8, (7-(AP$24-2-$I155))/6*2/3, AP$24-$I155 =9, (7-(AP$24-3-$I155))/6*1/3, TRUE, 0) *
IF(ISNUMBER(SEARCH("Ordinance",$L155)),7/6,1) *
IF(OR(ISNUMBER(SEARCH("Melee",$L155)),ISNUMBER(SEARCH("Bypass",$L155))),1.5,1)</f>
        <v>0</v>
      </c>
      <c r="AQ155" s="17" cm="1">
        <f t="array" ref="AQ155">$H155 *
IF(ISNUMBER(SEARCH("Rapid",$L155)),7/6,1) *
IF(OR(ISNUMBER(SEARCH("Beam",$L155)),ISNUMBER(SEARCH("Firestorm",$L155))),1, IF(ISNUMBER(SEARCH("Blast",$L155)),(4+$G155+(2-$G155)*0.5)/6*2,(4+$G155)/6)) *
_xlfn.IFS(AQ$24-$I155 &lt;=1, 5/6, AQ$24-$I155 &lt;=5, (7-(AQ$24-$I155))/6, AND(AQ$24-$I155 =6,NOT(_xlfn.IFNA(ISNUMBER(SEARCH("Rending",$L155)),FALSE))), (7-(AQ$24-$I155))/6, AND(AQ$24-$I155 &gt;=7,NOT(_xlfn.IFNA(ISNUMBER(SEARCH("Rending",$L155)),FALSE))), 0, AQ$24-$I155 =7, (7-(AQ$24-1-$I155))/6, AQ$24-$I155 =8, (7-(AQ$24-2-$I155))/6*2/3, AQ$24-$I155 =9, (7-(AQ$24-3-$I155))/6*1/3, TRUE, 0) *
IF(ISNUMBER(SEARCH("Ordinance",$L155)),7/6,1) *
IF(OR(ISNUMBER(SEARCH("Melee",$L155)),ISNUMBER(SEARCH("Bypass",$L155))),1.5,1)</f>
        <v>0</v>
      </c>
    </row>
    <row r="156" spans="1:48" x14ac:dyDescent="0.3">
      <c r="F156" s="10"/>
      <c r="G156" s="10"/>
      <c r="V156" s="16">
        <f t="shared" si="33"/>
        <v>0</v>
      </c>
      <c r="W156" s="16">
        <f t="shared" si="34"/>
        <v>0</v>
      </c>
      <c r="X156" s="17" cm="1">
        <f t="array" ref="X156">$H156 *
IF(ISNUMBER(SEARCH("Rapid",$L156)),7/6,1) *
IF(OR(ISNUMBER(SEARCH("Beam",$L156)),ISNUMBER(SEARCH("Firestorm",$L156))),1, IF(ISNUMBER(SEARCH("Blast",$L156)),(4+$F156+(2-$F156)*0.5)/6*2,(4+$F156)/6)) *
IF(ISNUMBER(SEARCH("Fusion",$L156)), _xlfn.IFS(X$24-$I156 &lt;=1, 9/10, X$24-$I156 &lt;=10,(11-(X$24-$I156))/10, X$24-$I156 &gt;=11, 0),
_xlfn.IFS(X$24-$I156 &lt;=1, 5/6, X$24-$I156 &lt;=5, (7-(X$24-$I156))/6, AND(X$24-$I156 =6,NOT(_xlfn.IFNA(ISNUMBER(SEARCH("Rending",$L156)),FALSE))), (7-(X$24-$I156))/6, AND(X$24-$I156 &gt;=7,NOT(_xlfn.IFNA(ISNUMBER(SEARCH("Rending",$L156)),FALSE))), 0, X$24-$I156 =7, (7-(X$24-1-$I156))/6, X$24-$I156 =8, (7-(X$24-2-$I156))/6*2/3, X$24-$I156 =9, (7-(X$24-3-$I156))/6*1/3, TRUE, 0)) *
IF(ISNUMBER(SEARCH("Ordinance",$L156)),7/6,1) *
IF(OR(ISNUMBER(SEARCH("Melee",$L156)),ISNUMBER(SEARCH("Bypass",$L156))),1.5,1)</f>
        <v>0</v>
      </c>
      <c r="Y156" s="17" cm="1">
        <f t="array" ref="Y156">$H156 *
IF(ISNUMBER(SEARCH("Rapid",$L156)),7/6,1) *
IF(OR(ISNUMBER(SEARCH("Beam",$L156)),ISNUMBER(SEARCH("Firestorm",$L156))),1, IF(ISNUMBER(SEARCH("Blast",$L156)),(4+$F156+(2-$F156)*0.5)/6*2,(4+$F156)/6)) *
IF(ISNUMBER(SEARCH("Fusion",$L156)), _xlfn.IFS(Y$24-$I156 &lt;=1, 9/10, Y$24-$I156 &lt;=10,(11-(Y$24-$I156))/10, Y$24-$I156 &gt;=11, 0),
_xlfn.IFS(Y$24-$I156 &lt;=1, 5/6, Y$24-$I156 &lt;=5, (7-(Y$24-$I156))/6, AND(Y$24-$I156 =6,NOT(_xlfn.IFNA(ISNUMBER(SEARCH("Rending",$L156)),FALSE))), (7-(Y$24-$I156))/6, AND(Y$24-$I156 &gt;=7,NOT(_xlfn.IFNA(ISNUMBER(SEARCH("Rending",$L156)),FALSE))), 0, Y$24-$I156 =7, (7-(Y$24-1-$I156))/6, Y$24-$I156 =8, (7-(Y$24-2-$I156))/6*2/3, Y$24-$I156 =9, (7-(Y$24-3-$I156))/6*1/3, TRUE, 0)) *
IF(ISNUMBER(SEARCH("Ordinance",$L156)),7/6,1) *
IF(OR(ISNUMBER(SEARCH("Melee",$L156)),ISNUMBER(SEARCH("Bypass",$L156))),1.5,1)</f>
        <v>0</v>
      </c>
      <c r="Z156" s="17" cm="1">
        <f t="array" ref="Z156">$H156 *
IF(ISNUMBER(SEARCH("Rapid",$L156)),7/6,1) *
IF(OR(ISNUMBER(SEARCH("Beam",$L156)),ISNUMBER(SEARCH("Firestorm",$L156))),1, IF(ISNUMBER(SEARCH("Blast",$L156)),(4+$F156+(2-$F156)*0.5)/6*2,(4+$F156)/6)) *
IF(ISNUMBER(SEARCH("Fusion",$L156)), _xlfn.IFS(Z$24-$I156 &lt;=1, 9/10, Z$24-$I156 &lt;=10,(11-(Z$24-$I156))/10, Z$24-$I156 &gt;=11, 0),
_xlfn.IFS(Z$24-$I156 &lt;=1, 5/6, Z$24-$I156 &lt;=5, (7-(Z$24-$I156))/6, AND(Z$24-$I156 =6,NOT(_xlfn.IFNA(ISNUMBER(SEARCH("Rending",$L156)),FALSE))), (7-(Z$24-$I156))/6, AND(Z$24-$I156 &gt;=7,NOT(_xlfn.IFNA(ISNUMBER(SEARCH("Rending",$L156)),FALSE))), 0, Z$24-$I156 =7, (7-(Z$24-1-$I156))/6, Z$24-$I156 =8, (7-(Z$24-2-$I156))/6*2/3, Z$24-$I156 =9, (7-(Z$24-3-$I156))/6*1/3, TRUE, 0)) *
IF(ISNUMBER(SEARCH("Ordinance",$L156)),7/6,1) *
IF(OR(ISNUMBER(SEARCH("Melee",$L156)),ISNUMBER(SEARCH("Bypass",$L156))),1.5,1)</f>
        <v>0</v>
      </c>
      <c r="AA156" s="17" cm="1">
        <f t="array" ref="AA156">$H156 *
IF(ISNUMBER(SEARCH("Rapid",$L156)),7/6,1) *
IF(OR(ISNUMBER(SEARCH("Beam",$L156)),ISNUMBER(SEARCH("Firestorm",$L156))),1, IF(ISNUMBER(SEARCH("Blast",$L156)),(4+$F156+(2-$F156)*0.5)/6*2,(4+$F156)/6)) *
IF(ISNUMBER(SEARCH("Fusion",$L156)), _xlfn.IFS(AA$24-$I156 &lt;=1, 9/10, AA$24-$I156 &lt;=10,(11-(AA$24-$I156))/10, AA$24-$I156 &gt;=11, 0),
_xlfn.IFS(AA$24-$I156 &lt;=1, 5/6, AA$24-$I156 &lt;=5, (7-(AA$24-$I156))/6, AND(AA$24-$I156 =6,NOT(_xlfn.IFNA(ISNUMBER(SEARCH("Rending",$L156)),FALSE))), (7-(AA$24-$I156))/6, AND(AA$24-$I156 &gt;=7,NOT(_xlfn.IFNA(ISNUMBER(SEARCH("Rending",$L156)),FALSE))), 0, AA$24-$I156 =7, (7-(AA$24-1-$I156))/6, AA$24-$I156 =8, (7-(AA$24-2-$I156))/6*2/3, AA$24-$I156 =9, (7-(AA$24-3-$I156))/6*1/3, TRUE, 0)) *
IF(ISNUMBER(SEARCH("Ordinance",$L156)),7/6,1) *
IF(OR(ISNUMBER(SEARCH("Melee",$L156)),ISNUMBER(SEARCH("Bypass",$L156))),1.5,1)</f>
        <v>0</v>
      </c>
      <c r="AB156" s="17" cm="1">
        <f t="array" ref="AB156">$H156 *
IF(ISNUMBER(SEARCH("Rapid",$L156)),7/6,1) *
IF(OR(ISNUMBER(SEARCH("Beam",$L156)),ISNUMBER(SEARCH("Firestorm",$L156))),1, IF(ISNUMBER(SEARCH("Blast",$L156)),(4+$F156+(2-$F156)*0.5)/6*2,(4+$F156)/6)) *
IF(ISNUMBER(SEARCH("Fusion",$L156)), _xlfn.IFS(AB$24-$I156 &lt;=1, 9/10, AB$24-$I156 &lt;=10,(11-(AB$24-$I156))/10, AB$24-$I156 &gt;=11, 0),
_xlfn.IFS(AB$24-$I156 &lt;=1, 5/6, AB$24-$I156 &lt;=5, (7-(AB$24-$I156))/6, AND(AB$24-$I156 =6,NOT(_xlfn.IFNA(ISNUMBER(SEARCH("Rending",$L156)),FALSE))), (7-(AB$24-$I156))/6, AND(AB$24-$I156 &gt;=7,NOT(_xlfn.IFNA(ISNUMBER(SEARCH("Rending",$L156)),FALSE))), 0, AB$24-$I156 =7, (7-(AB$24-1-$I156))/6, AB$24-$I156 =8, (7-(AB$24-2-$I156))/6*2/3, AB$24-$I156 =9, (7-(AB$24-3-$I156))/6*1/3, TRUE, 0)) *
IF(ISNUMBER(SEARCH("Ordinance",$L156)),7/6,1) *
IF(OR(ISNUMBER(SEARCH("Melee",$L156)),ISNUMBER(SEARCH("Bypass",$L156))),1.5,1)</f>
        <v>0</v>
      </c>
      <c r="AC156" s="17" cm="1">
        <f t="array" ref="AC156">$H156 *
IF(ISNUMBER(SEARCH("Rapid",$L156)),7/6,1) *
IF(OR(ISNUMBER(SEARCH("Beam",$L156)),ISNUMBER(SEARCH("Firestorm",$L156))),1, IF(ISNUMBER(SEARCH("Blast",$L156)),(4+$F156+(2-$F156)*0.5)/6*2,(4+$F156)/6)) *
IF(ISNUMBER(SEARCH("Fusion",$L156)), _xlfn.IFS(AC$24-$I156 &lt;=1, 9/10, AC$24-$I156 &lt;=10,(11-(AC$24-$I156))/10, AC$24-$I156 &gt;=11, 0),
_xlfn.IFS(AC$24-$I156 &lt;=1, 5/6, AC$24-$I156 &lt;=5, (7-(AC$24-$I156))/6, AND(AC$24-$I156 =6,NOT(_xlfn.IFNA(ISNUMBER(SEARCH("Rending",$L156)),FALSE))), (7-(AC$24-$I156))/6, AND(AC$24-$I156 &gt;=7,NOT(_xlfn.IFNA(ISNUMBER(SEARCH("Rending",$L156)),FALSE))), 0, AC$24-$I156 =7, (7-(AC$24-1-$I156))/6, AC$24-$I156 =8, (7-(AC$24-2-$I156))/6*2/3, AC$24-$I156 =9, (7-(AC$24-3-$I156))/6*1/3, TRUE, 0)) *
IF(ISNUMBER(SEARCH("Ordinance",$L156)),7/6,1) *
IF(OR(ISNUMBER(SEARCH("Melee",$L156)),ISNUMBER(SEARCH("Bypass",$L156))),1.5,1)</f>
        <v>0</v>
      </c>
      <c r="AD156" s="17" cm="1">
        <f t="array" ref="AD156">$H156 *
IF(ISNUMBER(SEARCH("Rapid",$L156)),7/6,1) *
IF(OR(ISNUMBER(SEARCH("Beam",$L156)),ISNUMBER(SEARCH("Firestorm",$L156))),1, IF(ISNUMBER(SEARCH("Blast",$L156)),(4+$F156+(2-$F156)*0.5)/6*2,(4+$F156)/6)) *
IF(ISNUMBER(SEARCH("Fusion",$L156)), _xlfn.IFS(AD$24-$I156 &lt;=1, 9/10, AD$24-$I156 &lt;=10,(11-(AD$24-$I156))/10, AD$24-$I156 &gt;=11, 0),
_xlfn.IFS(AD$24-$I156 &lt;=1, 5/6, AD$24-$I156 &lt;=5, (7-(AD$24-$I156))/6, AND(AD$24-$I156 =6,NOT(_xlfn.IFNA(ISNUMBER(SEARCH("Rending",$L156)),FALSE))), (7-(AD$24-$I156))/6, AND(AD$24-$I156 &gt;=7,NOT(_xlfn.IFNA(ISNUMBER(SEARCH("Rending",$L156)),FALSE))), 0, AD$24-$I156 =7, (7-(AD$24-1-$I156))/6, AD$24-$I156 =8, (7-(AD$24-2-$I156))/6*2/3, AD$24-$I156 =9, (7-(AD$24-3-$I156))/6*1/3, TRUE, 0)) *
IF(ISNUMBER(SEARCH("Ordinance",$L156)),7/6,1) *
IF(OR(ISNUMBER(SEARCH("Melee",$L156)),ISNUMBER(SEARCH("Bypass",$L156))),1.5,1)</f>
        <v>0</v>
      </c>
      <c r="AE156" s="17" cm="1">
        <f t="array" ref="AE156">$H156 *
IF(ISNUMBER(SEARCH("Rapid",$L156)),7/6,1) *
IF(OR(ISNUMBER(SEARCH("Beam",$L156)),ISNUMBER(SEARCH("Firestorm",$L156))),1, IF(ISNUMBER(SEARCH("Blast",$L156)),(4+$F156+(2-$F156)*0.5)/6*2,(4+$F156)/6)) *
IF(ISNUMBER(SEARCH("Fusion",$L156)), _xlfn.IFS(AE$24-$I156 &lt;=1, 9/10, AE$24-$I156 &lt;=10,(11-(AE$24-$I156))/10, AE$24-$I156 &gt;=11, 0),
_xlfn.IFS(AE$24-$I156 &lt;=1, 5/6, AE$24-$I156 &lt;=5, (7-(AE$24-$I156))/6, AND(AE$24-$I156 =6,NOT(_xlfn.IFNA(ISNUMBER(SEARCH("Rending",$L156)),FALSE))), (7-(AE$24-$I156))/6, AND(AE$24-$I156 &gt;=7,NOT(_xlfn.IFNA(ISNUMBER(SEARCH("Rending",$L156)),FALSE))), 0, AE$24-$I156 =7, (7-(AE$24-1-$I156))/6, AE$24-$I156 =8, (7-(AE$24-2-$I156))/6*2/3, AE$24-$I156 =9, (7-(AE$24-3-$I156))/6*1/3, TRUE, 0)) *
IF(ISNUMBER(SEARCH("Ordinance",$L156)),7/6,1) *
IF(OR(ISNUMBER(SEARCH("Melee",$L156)),ISNUMBER(SEARCH("Bypass",$L156))),1.5,1)</f>
        <v>0</v>
      </c>
      <c r="AF156" s="17" cm="1">
        <f t="array" ref="AF156">$H156 *
IF(ISNUMBER(SEARCH("Rapid",$L156)),7/6,1) *
IF(OR(ISNUMBER(SEARCH("Beam",$L156)),ISNUMBER(SEARCH("Firestorm",$L156))),1, IF(ISNUMBER(SEARCH("Blast",$L156)),(4+$F156+(2-$F156)*0.5)/6*2,(4+$F156)/6)) *
IF(ISNUMBER(SEARCH("Fusion",$L156)), _xlfn.IFS(AF$24-$I156 &lt;=1, 9/10, AF$24-$I156 &lt;=10,(11-(AF$24-$I156))/10, AF$24-$I156 &gt;=11, 0),
_xlfn.IFS(AF$24-$I156 &lt;=1, 5/6, AF$24-$I156 &lt;=5, (7-(AF$24-$I156))/6, AND(AF$24-$I156 =6,NOT(_xlfn.IFNA(ISNUMBER(SEARCH("Rending",$L156)),FALSE))), (7-(AF$24-$I156))/6, AND(AF$24-$I156 &gt;=7,NOT(_xlfn.IFNA(ISNUMBER(SEARCH("Rending",$L156)),FALSE))), 0, AF$24-$I156 =7, (7-(AF$24-1-$I156))/6, AF$24-$I156 =8, (7-(AF$24-2-$I156))/6*2/3, AF$24-$I156 =9, (7-(AF$24-3-$I156))/6*1/3, TRUE, 0)) *
IF(ISNUMBER(SEARCH("Ordinance",$L156)),7/6,1) *
IF(OR(ISNUMBER(SEARCH("Melee",$L156)),ISNUMBER(SEARCH("Bypass",$L156))),1.5,1)</f>
        <v>0</v>
      </c>
      <c r="AG156" s="16">
        <f t="shared" si="35"/>
        <v>0</v>
      </c>
      <c r="AH156" s="16">
        <f t="shared" si="36"/>
        <v>0</v>
      </c>
      <c r="AI156" s="17" cm="1">
        <f t="array" ref="AI156">$H156 *
IF(ISNUMBER(SEARCH("Rapid",$L156)),7/6,1) *
IF(OR(ISNUMBER(SEARCH("Beam",$L156)),ISNUMBER(SEARCH("Firestorm",$L156))),1, IF(ISNUMBER(SEARCH("Blast",$L156)),(4+$G156+(2-$G156)*0.5)/6*2,(4+$G156)/6)) *
_xlfn.IFS(AI$24-$I156 &lt;=1, 5/6, AI$24-$I156 &lt;=5, (7-(AI$24-$I156))/6, AND(AI$24-$I156 =6,NOT(_xlfn.IFNA(ISNUMBER(SEARCH("Rending",$L156)),FALSE))), (7-(AI$24-$I156))/6, AND(AI$24-$I156 &gt;=7,NOT(_xlfn.IFNA(ISNUMBER(SEARCH("Rending",$L156)),FALSE))), 0, AI$24-$I156 =7, (7-(AI$24-1-$I156))/6, AI$24-$I156 =8, (7-(AI$24-2-$I156))/6*2/3, AI$24-$I156 =9, (7-(AI$24-3-$I156))/6*1/3, TRUE, 0) *
IF(ISNUMBER(SEARCH("Ordinance",$L156)),7/6,1) *
IF(OR(ISNUMBER(SEARCH("Melee",$L156)),ISNUMBER(SEARCH("Bypass",$L156))),1.5,1)</f>
        <v>0</v>
      </c>
      <c r="AJ156" s="17" cm="1">
        <f t="array" ref="AJ156">$H156 *
IF(ISNUMBER(SEARCH("Rapid",$L156)),7/6,1) *
IF(OR(ISNUMBER(SEARCH("Beam",$L156)),ISNUMBER(SEARCH("Firestorm",$L156))),1, IF(ISNUMBER(SEARCH("Blast",$L156)),(4+$G156+(2-$G156)*0.5)/6*2,(4+$G156)/6)) *
_xlfn.IFS(AJ$24-$I156 &lt;=1, 5/6, AJ$24-$I156 &lt;=5, (7-(AJ$24-$I156))/6, AND(AJ$24-$I156 =6,NOT(_xlfn.IFNA(ISNUMBER(SEARCH("Rending",$L156)),FALSE))), (7-(AJ$24-$I156))/6, AND(AJ$24-$I156 &gt;=7,NOT(_xlfn.IFNA(ISNUMBER(SEARCH("Rending",$L156)),FALSE))), 0, AJ$24-$I156 =7, (7-(AJ$24-1-$I156))/6, AJ$24-$I156 =8, (7-(AJ$24-2-$I156))/6*2/3, AJ$24-$I156 =9, (7-(AJ$24-3-$I156))/6*1/3, TRUE, 0) *
IF(ISNUMBER(SEARCH("Ordinance",$L156)),7/6,1) *
IF(OR(ISNUMBER(SEARCH("Melee",$L156)),ISNUMBER(SEARCH("Bypass",$L156))),1.5,1)</f>
        <v>0</v>
      </c>
      <c r="AK156" s="17" cm="1">
        <f t="array" ref="AK156">$H156 *
IF(ISNUMBER(SEARCH("Rapid",$L156)),7/6,1) *
IF(OR(ISNUMBER(SEARCH("Beam",$L156)),ISNUMBER(SEARCH("Firestorm",$L156))),1, IF(ISNUMBER(SEARCH("Blast",$L156)),(4+$G156+(2-$G156)*0.5)/6*2,(4+$G156)/6)) *
_xlfn.IFS(AK$24-$I156 &lt;=1, 5/6, AK$24-$I156 &lt;=5, (7-(AK$24-$I156))/6, AND(AK$24-$I156 =6,NOT(_xlfn.IFNA(ISNUMBER(SEARCH("Rending",$L156)),FALSE))), (7-(AK$24-$I156))/6, AND(AK$24-$I156 &gt;=7,NOT(_xlfn.IFNA(ISNUMBER(SEARCH("Rending",$L156)),FALSE))), 0, AK$24-$I156 =7, (7-(AK$24-1-$I156))/6, AK$24-$I156 =8, (7-(AK$24-2-$I156))/6*2/3, AK$24-$I156 =9, (7-(AK$24-3-$I156))/6*1/3, TRUE, 0) *
IF(ISNUMBER(SEARCH("Ordinance",$L156)),7/6,1) *
IF(OR(ISNUMBER(SEARCH("Melee",$L156)),ISNUMBER(SEARCH("Bypass",$L156))),1.5,1)</f>
        <v>0</v>
      </c>
      <c r="AL156" s="17" cm="1">
        <f t="array" ref="AL156">$H156 *
IF(ISNUMBER(SEARCH("Rapid",$L156)),7/6,1) *
IF(OR(ISNUMBER(SEARCH("Beam",$L156)),ISNUMBER(SEARCH("Firestorm",$L156))),1, IF(ISNUMBER(SEARCH("Blast",$L156)),(4+$G156+(2-$G156)*0.5)/6*2,(4+$G156)/6)) *
_xlfn.IFS(AL$24-$I156 &lt;=1, 5/6, AL$24-$I156 &lt;=5, (7-(AL$24-$I156))/6, AND(AL$24-$I156 =6,NOT(_xlfn.IFNA(ISNUMBER(SEARCH("Rending",$L156)),FALSE))), (7-(AL$24-$I156))/6, AND(AL$24-$I156 &gt;=7,NOT(_xlfn.IFNA(ISNUMBER(SEARCH("Rending",$L156)),FALSE))), 0, AL$24-$I156 =7, (7-(AL$24-1-$I156))/6, AL$24-$I156 =8, (7-(AL$24-2-$I156))/6*2/3, AL$24-$I156 =9, (7-(AL$24-3-$I156))/6*1/3, TRUE, 0) *
IF(ISNUMBER(SEARCH("Ordinance",$L156)),7/6,1) *
IF(OR(ISNUMBER(SEARCH("Melee",$L156)),ISNUMBER(SEARCH("Bypass",$L156))),1.5,1)</f>
        <v>0</v>
      </c>
      <c r="AM156" s="17" cm="1">
        <f t="array" ref="AM156">$H156 *
IF(ISNUMBER(SEARCH("Rapid",$L156)),7/6,1) *
IF(OR(ISNUMBER(SEARCH("Beam",$L156)),ISNUMBER(SEARCH("Firestorm",$L156))),1, IF(ISNUMBER(SEARCH("Blast",$L156)),(4+$G156+(2-$G156)*0.5)/6*2,(4+$G156)/6)) *
_xlfn.IFS(AM$24-$I156 &lt;=1, 5/6, AM$24-$I156 &lt;=5, (7-(AM$24-$I156))/6, AND(AM$24-$I156 =6,NOT(_xlfn.IFNA(ISNUMBER(SEARCH("Rending",$L156)),FALSE))), (7-(AM$24-$I156))/6, AND(AM$24-$I156 &gt;=7,NOT(_xlfn.IFNA(ISNUMBER(SEARCH("Rending",$L156)),FALSE))), 0, AM$24-$I156 =7, (7-(AM$24-1-$I156))/6, AM$24-$I156 =8, (7-(AM$24-2-$I156))/6*2/3, AM$24-$I156 =9, (7-(AM$24-3-$I156))/6*1/3, TRUE, 0) *
IF(ISNUMBER(SEARCH("Ordinance",$L156)),7/6,1) *
IF(OR(ISNUMBER(SEARCH("Melee",$L156)),ISNUMBER(SEARCH("Bypass",$L156))),1.5,1)</f>
        <v>0</v>
      </c>
      <c r="AN156" s="17" cm="1">
        <f t="array" ref="AN156">$H156 *
IF(ISNUMBER(SEARCH("Rapid",$L156)),7/6,1) *
IF(OR(ISNUMBER(SEARCH("Beam",$L156)),ISNUMBER(SEARCH("Firestorm",$L156))),1, IF(ISNUMBER(SEARCH("Blast",$L156)),(4+$G156+(2-$G156)*0.5)/6*2,(4+$G156)/6)) *
_xlfn.IFS(AN$24-$I156 &lt;=1, 5/6, AN$24-$I156 &lt;=5, (7-(AN$24-$I156))/6, AND(AN$24-$I156 =6,NOT(_xlfn.IFNA(ISNUMBER(SEARCH("Rending",$L156)),FALSE))), (7-(AN$24-$I156))/6, AND(AN$24-$I156 &gt;=7,NOT(_xlfn.IFNA(ISNUMBER(SEARCH("Rending",$L156)),FALSE))), 0, AN$24-$I156 =7, (7-(AN$24-1-$I156))/6, AN$24-$I156 =8, (7-(AN$24-2-$I156))/6*2/3, AN$24-$I156 =9, (7-(AN$24-3-$I156))/6*1/3, TRUE, 0) *
IF(ISNUMBER(SEARCH("Ordinance",$L156)),7/6,1) *
IF(OR(ISNUMBER(SEARCH("Melee",$L156)),ISNUMBER(SEARCH("Bypass",$L156))),1.5,1)</f>
        <v>0</v>
      </c>
      <c r="AO156" s="17" cm="1">
        <f t="array" ref="AO156">$H156 *
IF(ISNUMBER(SEARCH("Rapid",$L156)),7/6,1) *
IF(OR(ISNUMBER(SEARCH("Beam",$L156)),ISNUMBER(SEARCH("Firestorm",$L156))),1, IF(ISNUMBER(SEARCH("Blast",$L156)),(4+$G156+(2-$G156)*0.5)/6*2,(4+$G156)/6)) *
_xlfn.IFS(AO$24-$I156 &lt;=1, 5/6, AO$24-$I156 &lt;=5, (7-(AO$24-$I156))/6, AND(AO$24-$I156 =6,NOT(_xlfn.IFNA(ISNUMBER(SEARCH("Rending",$L156)),FALSE))), (7-(AO$24-$I156))/6, AND(AO$24-$I156 &gt;=7,NOT(_xlfn.IFNA(ISNUMBER(SEARCH("Rending",$L156)),FALSE))), 0, AO$24-$I156 =7, (7-(AO$24-1-$I156))/6, AO$24-$I156 =8, (7-(AO$24-2-$I156))/6*2/3, AO$24-$I156 =9, (7-(AO$24-3-$I156))/6*1/3, TRUE, 0) *
IF(ISNUMBER(SEARCH("Ordinance",$L156)),7/6,1) *
IF(OR(ISNUMBER(SEARCH("Melee",$L156)),ISNUMBER(SEARCH("Bypass",$L156))),1.5,1)</f>
        <v>0</v>
      </c>
      <c r="AP156" s="17" cm="1">
        <f t="array" ref="AP156">$H156 *
IF(ISNUMBER(SEARCH("Rapid",$L156)),7/6,1) *
IF(OR(ISNUMBER(SEARCH("Beam",$L156)),ISNUMBER(SEARCH("Firestorm",$L156))),1, IF(ISNUMBER(SEARCH("Blast",$L156)),(4+$G156+(2-$G156)*0.5)/6*2,(4+$G156)/6)) *
_xlfn.IFS(AP$24-$I156 &lt;=1, 5/6, AP$24-$I156 &lt;=5, (7-(AP$24-$I156))/6, AND(AP$24-$I156 =6,NOT(_xlfn.IFNA(ISNUMBER(SEARCH("Rending",$L156)),FALSE))), (7-(AP$24-$I156))/6, AND(AP$24-$I156 &gt;=7,NOT(_xlfn.IFNA(ISNUMBER(SEARCH("Rending",$L156)),FALSE))), 0, AP$24-$I156 =7, (7-(AP$24-1-$I156))/6, AP$24-$I156 =8, (7-(AP$24-2-$I156))/6*2/3, AP$24-$I156 =9, (7-(AP$24-3-$I156))/6*1/3, TRUE, 0) *
IF(ISNUMBER(SEARCH("Ordinance",$L156)),7/6,1) *
IF(OR(ISNUMBER(SEARCH("Melee",$L156)),ISNUMBER(SEARCH("Bypass",$L156))),1.5,1)</f>
        <v>0</v>
      </c>
      <c r="AQ156" s="17" cm="1">
        <f t="array" ref="AQ156">$H156 *
IF(ISNUMBER(SEARCH("Rapid",$L156)),7/6,1) *
IF(OR(ISNUMBER(SEARCH("Beam",$L156)),ISNUMBER(SEARCH("Firestorm",$L156))),1, IF(ISNUMBER(SEARCH("Blast",$L156)),(4+$G156+(2-$G156)*0.5)/6*2,(4+$G156)/6)) *
_xlfn.IFS(AQ$24-$I156 &lt;=1, 5/6, AQ$24-$I156 &lt;=5, (7-(AQ$24-$I156))/6, AND(AQ$24-$I156 =6,NOT(_xlfn.IFNA(ISNUMBER(SEARCH("Rending",$L156)),FALSE))), (7-(AQ$24-$I156))/6, AND(AQ$24-$I156 &gt;=7,NOT(_xlfn.IFNA(ISNUMBER(SEARCH("Rending",$L156)),FALSE))), 0, AQ$24-$I156 =7, (7-(AQ$24-1-$I156))/6, AQ$24-$I156 =8, (7-(AQ$24-2-$I156))/6*2/3, AQ$24-$I156 =9, (7-(AQ$24-3-$I156))/6*1/3, TRUE, 0) *
IF(ISNUMBER(SEARCH("Ordinance",$L156)),7/6,1) *
IF(OR(ISNUMBER(SEARCH("Melee",$L156)),ISNUMBER(SEARCH("Bypass",$L156))),1.5,1)</f>
        <v>0</v>
      </c>
    </row>
    <row r="157" spans="1:48" x14ac:dyDescent="0.3">
      <c r="F157" s="10"/>
      <c r="G157" s="10"/>
      <c r="V157" s="16">
        <f t="shared" si="33"/>
        <v>0</v>
      </c>
      <c r="W157" s="16">
        <f t="shared" si="34"/>
        <v>0</v>
      </c>
      <c r="X157" s="17" cm="1">
        <f t="array" ref="X157">$H157 *
IF(ISNUMBER(SEARCH("Rapid",$L157)),7/6,1) *
IF(OR(ISNUMBER(SEARCH("Beam",$L157)),ISNUMBER(SEARCH("Firestorm",$L157))),1, IF(ISNUMBER(SEARCH("Blast",$L157)),(4+$F157+(2-$F157)*0.5)/6*2,(4+$F157)/6)) *
IF(ISNUMBER(SEARCH("Fusion",$L157)), _xlfn.IFS(X$24-$I157 &lt;=1, 9/10, X$24-$I157 &lt;=10,(11-(X$24-$I157))/10, X$24-$I157 &gt;=11, 0),
_xlfn.IFS(X$24-$I157 &lt;=1, 5/6, X$24-$I157 &lt;=5, (7-(X$24-$I157))/6, AND(X$24-$I157 =6,NOT(_xlfn.IFNA(ISNUMBER(SEARCH("Rending",$L157)),FALSE))), (7-(X$24-$I157))/6, AND(X$24-$I157 &gt;=7,NOT(_xlfn.IFNA(ISNUMBER(SEARCH("Rending",$L157)),FALSE))), 0, X$24-$I157 =7, (7-(X$24-1-$I157))/6, X$24-$I157 =8, (7-(X$24-2-$I157))/6*2/3, X$24-$I157 =9, (7-(X$24-3-$I157))/6*1/3, TRUE, 0)) *
IF(ISNUMBER(SEARCH("Ordinance",$L157)),7/6,1) *
IF(OR(ISNUMBER(SEARCH("Melee",$L157)),ISNUMBER(SEARCH("Bypass",$L157))),1.5,1)</f>
        <v>0</v>
      </c>
      <c r="Y157" s="17" cm="1">
        <f t="array" ref="Y157">$H157 *
IF(ISNUMBER(SEARCH("Rapid",$L157)),7/6,1) *
IF(OR(ISNUMBER(SEARCH("Beam",$L157)),ISNUMBER(SEARCH("Firestorm",$L157))),1, IF(ISNUMBER(SEARCH("Blast",$L157)),(4+$F157+(2-$F157)*0.5)/6*2,(4+$F157)/6)) *
IF(ISNUMBER(SEARCH("Fusion",$L157)), _xlfn.IFS(Y$24-$I157 &lt;=1, 9/10, Y$24-$I157 &lt;=10,(11-(Y$24-$I157))/10, Y$24-$I157 &gt;=11, 0),
_xlfn.IFS(Y$24-$I157 &lt;=1, 5/6, Y$24-$I157 &lt;=5, (7-(Y$24-$I157))/6, AND(Y$24-$I157 =6,NOT(_xlfn.IFNA(ISNUMBER(SEARCH("Rending",$L157)),FALSE))), (7-(Y$24-$I157))/6, AND(Y$24-$I157 &gt;=7,NOT(_xlfn.IFNA(ISNUMBER(SEARCH("Rending",$L157)),FALSE))), 0, Y$24-$I157 =7, (7-(Y$24-1-$I157))/6, Y$24-$I157 =8, (7-(Y$24-2-$I157))/6*2/3, Y$24-$I157 =9, (7-(Y$24-3-$I157))/6*1/3, TRUE, 0)) *
IF(ISNUMBER(SEARCH("Ordinance",$L157)),7/6,1) *
IF(OR(ISNUMBER(SEARCH("Melee",$L157)),ISNUMBER(SEARCH("Bypass",$L157))),1.5,1)</f>
        <v>0</v>
      </c>
      <c r="Z157" s="17" cm="1">
        <f t="array" ref="Z157">$H157 *
IF(ISNUMBER(SEARCH("Rapid",$L157)),7/6,1) *
IF(OR(ISNUMBER(SEARCH("Beam",$L157)),ISNUMBER(SEARCH("Firestorm",$L157))),1, IF(ISNUMBER(SEARCH("Blast",$L157)),(4+$F157+(2-$F157)*0.5)/6*2,(4+$F157)/6)) *
IF(ISNUMBER(SEARCH("Fusion",$L157)), _xlfn.IFS(Z$24-$I157 &lt;=1, 9/10, Z$24-$I157 &lt;=10,(11-(Z$24-$I157))/10, Z$24-$I157 &gt;=11, 0),
_xlfn.IFS(Z$24-$I157 &lt;=1, 5/6, Z$24-$I157 &lt;=5, (7-(Z$24-$I157))/6, AND(Z$24-$I157 =6,NOT(_xlfn.IFNA(ISNUMBER(SEARCH("Rending",$L157)),FALSE))), (7-(Z$24-$I157))/6, AND(Z$24-$I157 &gt;=7,NOT(_xlfn.IFNA(ISNUMBER(SEARCH("Rending",$L157)),FALSE))), 0, Z$24-$I157 =7, (7-(Z$24-1-$I157))/6, Z$24-$I157 =8, (7-(Z$24-2-$I157))/6*2/3, Z$24-$I157 =9, (7-(Z$24-3-$I157))/6*1/3, TRUE, 0)) *
IF(ISNUMBER(SEARCH("Ordinance",$L157)),7/6,1) *
IF(OR(ISNUMBER(SEARCH("Melee",$L157)),ISNUMBER(SEARCH("Bypass",$L157))),1.5,1)</f>
        <v>0</v>
      </c>
      <c r="AA157" s="17" cm="1">
        <f t="array" ref="AA157">$H157 *
IF(ISNUMBER(SEARCH("Rapid",$L157)),7/6,1) *
IF(OR(ISNUMBER(SEARCH("Beam",$L157)),ISNUMBER(SEARCH("Firestorm",$L157))),1, IF(ISNUMBER(SEARCH("Blast",$L157)),(4+$F157+(2-$F157)*0.5)/6*2,(4+$F157)/6)) *
IF(ISNUMBER(SEARCH("Fusion",$L157)), _xlfn.IFS(AA$24-$I157 &lt;=1, 9/10, AA$24-$I157 &lt;=10,(11-(AA$24-$I157))/10, AA$24-$I157 &gt;=11, 0),
_xlfn.IFS(AA$24-$I157 &lt;=1, 5/6, AA$24-$I157 &lt;=5, (7-(AA$24-$I157))/6, AND(AA$24-$I157 =6,NOT(_xlfn.IFNA(ISNUMBER(SEARCH("Rending",$L157)),FALSE))), (7-(AA$24-$I157))/6, AND(AA$24-$I157 &gt;=7,NOT(_xlfn.IFNA(ISNUMBER(SEARCH("Rending",$L157)),FALSE))), 0, AA$24-$I157 =7, (7-(AA$24-1-$I157))/6, AA$24-$I157 =8, (7-(AA$24-2-$I157))/6*2/3, AA$24-$I157 =9, (7-(AA$24-3-$I157))/6*1/3, TRUE, 0)) *
IF(ISNUMBER(SEARCH("Ordinance",$L157)),7/6,1) *
IF(OR(ISNUMBER(SEARCH("Melee",$L157)),ISNUMBER(SEARCH("Bypass",$L157))),1.5,1)</f>
        <v>0</v>
      </c>
      <c r="AB157" s="17" cm="1">
        <f t="array" ref="AB157">$H157 *
IF(ISNUMBER(SEARCH("Rapid",$L157)),7/6,1) *
IF(OR(ISNUMBER(SEARCH("Beam",$L157)),ISNUMBER(SEARCH("Firestorm",$L157))),1, IF(ISNUMBER(SEARCH("Blast",$L157)),(4+$F157+(2-$F157)*0.5)/6*2,(4+$F157)/6)) *
IF(ISNUMBER(SEARCH("Fusion",$L157)), _xlfn.IFS(AB$24-$I157 &lt;=1, 9/10, AB$24-$I157 &lt;=10,(11-(AB$24-$I157))/10, AB$24-$I157 &gt;=11, 0),
_xlfn.IFS(AB$24-$I157 &lt;=1, 5/6, AB$24-$I157 &lt;=5, (7-(AB$24-$I157))/6, AND(AB$24-$I157 =6,NOT(_xlfn.IFNA(ISNUMBER(SEARCH("Rending",$L157)),FALSE))), (7-(AB$24-$I157))/6, AND(AB$24-$I157 &gt;=7,NOT(_xlfn.IFNA(ISNUMBER(SEARCH("Rending",$L157)),FALSE))), 0, AB$24-$I157 =7, (7-(AB$24-1-$I157))/6, AB$24-$I157 =8, (7-(AB$24-2-$I157))/6*2/3, AB$24-$I157 =9, (7-(AB$24-3-$I157))/6*1/3, TRUE, 0)) *
IF(ISNUMBER(SEARCH("Ordinance",$L157)),7/6,1) *
IF(OR(ISNUMBER(SEARCH("Melee",$L157)),ISNUMBER(SEARCH("Bypass",$L157))),1.5,1)</f>
        <v>0</v>
      </c>
      <c r="AC157" s="17" cm="1">
        <f t="array" ref="AC157">$H157 *
IF(ISNUMBER(SEARCH("Rapid",$L157)),7/6,1) *
IF(OR(ISNUMBER(SEARCH("Beam",$L157)),ISNUMBER(SEARCH("Firestorm",$L157))),1, IF(ISNUMBER(SEARCH("Blast",$L157)),(4+$F157+(2-$F157)*0.5)/6*2,(4+$F157)/6)) *
IF(ISNUMBER(SEARCH("Fusion",$L157)), _xlfn.IFS(AC$24-$I157 &lt;=1, 9/10, AC$24-$I157 &lt;=10,(11-(AC$24-$I157))/10, AC$24-$I157 &gt;=11, 0),
_xlfn.IFS(AC$24-$I157 &lt;=1, 5/6, AC$24-$I157 &lt;=5, (7-(AC$24-$I157))/6, AND(AC$24-$I157 =6,NOT(_xlfn.IFNA(ISNUMBER(SEARCH("Rending",$L157)),FALSE))), (7-(AC$24-$I157))/6, AND(AC$24-$I157 &gt;=7,NOT(_xlfn.IFNA(ISNUMBER(SEARCH("Rending",$L157)),FALSE))), 0, AC$24-$I157 =7, (7-(AC$24-1-$I157))/6, AC$24-$I157 =8, (7-(AC$24-2-$I157))/6*2/3, AC$24-$I157 =9, (7-(AC$24-3-$I157))/6*1/3, TRUE, 0)) *
IF(ISNUMBER(SEARCH("Ordinance",$L157)),7/6,1) *
IF(OR(ISNUMBER(SEARCH("Melee",$L157)),ISNUMBER(SEARCH("Bypass",$L157))),1.5,1)</f>
        <v>0</v>
      </c>
      <c r="AD157" s="17" cm="1">
        <f t="array" ref="AD157">$H157 *
IF(ISNUMBER(SEARCH("Rapid",$L157)),7/6,1) *
IF(OR(ISNUMBER(SEARCH("Beam",$L157)),ISNUMBER(SEARCH("Firestorm",$L157))),1, IF(ISNUMBER(SEARCH("Blast",$L157)),(4+$F157+(2-$F157)*0.5)/6*2,(4+$F157)/6)) *
IF(ISNUMBER(SEARCH("Fusion",$L157)), _xlfn.IFS(AD$24-$I157 &lt;=1, 9/10, AD$24-$I157 &lt;=10,(11-(AD$24-$I157))/10, AD$24-$I157 &gt;=11, 0),
_xlfn.IFS(AD$24-$I157 &lt;=1, 5/6, AD$24-$I157 &lt;=5, (7-(AD$24-$I157))/6, AND(AD$24-$I157 =6,NOT(_xlfn.IFNA(ISNUMBER(SEARCH("Rending",$L157)),FALSE))), (7-(AD$24-$I157))/6, AND(AD$24-$I157 &gt;=7,NOT(_xlfn.IFNA(ISNUMBER(SEARCH("Rending",$L157)),FALSE))), 0, AD$24-$I157 =7, (7-(AD$24-1-$I157))/6, AD$24-$I157 =8, (7-(AD$24-2-$I157))/6*2/3, AD$24-$I157 =9, (7-(AD$24-3-$I157))/6*1/3, TRUE, 0)) *
IF(ISNUMBER(SEARCH("Ordinance",$L157)),7/6,1) *
IF(OR(ISNUMBER(SEARCH("Melee",$L157)),ISNUMBER(SEARCH("Bypass",$L157))),1.5,1)</f>
        <v>0</v>
      </c>
      <c r="AE157" s="17" cm="1">
        <f t="array" ref="AE157">$H157 *
IF(ISNUMBER(SEARCH("Rapid",$L157)),7/6,1) *
IF(OR(ISNUMBER(SEARCH("Beam",$L157)),ISNUMBER(SEARCH("Firestorm",$L157))),1, IF(ISNUMBER(SEARCH("Blast",$L157)),(4+$F157+(2-$F157)*0.5)/6*2,(4+$F157)/6)) *
IF(ISNUMBER(SEARCH("Fusion",$L157)), _xlfn.IFS(AE$24-$I157 &lt;=1, 9/10, AE$24-$I157 &lt;=10,(11-(AE$24-$I157))/10, AE$24-$I157 &gt;=11, 0),
_xlfn.IFS(AE$24-$I157 &lt;=1, 5/6, AE$24-$I157 &lt;=5, (7-(AE$24-$I157))/6, AND(AE$24-$I157 =6,NOT(_xlfn.IFNA(ISNUMBER(SEARCH("Rending",$L157)),FALSE))), (7-(AE$24-$I157))/6, AND(AE$24-$I157 &gt;=7,NOT(_xlfn.IFNA(ISNUMBER(SEARCH("Rending",$L157)),FALSE))), 0, AE$24-$I157 =7, (7-(AE$24-1-$I157))/6, AE$24-$I157 =8, (7-(AE$24-2-$I157))/6*2/3, AE$24-$I157 =9, (7-(AE$24-3-$I157))/6*1/3, TRUE, 0)) *
IF(ISNUMBER(SEARCH("Ordinance",$L157)),7/6,1) *
IF(OR(ISNUMBER(SEARCH("Melee",$L157)),ISNUMBER(SEARCH("Bypass",$L157))),1.5,1)</f>
        <v>0</v>
      </c>
      <c r="AF157" s="17" cm="1">
        <f t="array" ref="AF157">$H157 *
IF(ISNUMBER(SEARCH("Rapid",$L157)),7/6,1) *
IF(OR(ISNUMBER(SEARCH("Beam",$L157)),ISNUMBER(SEARCH("Firestorm",$L157))),1, IF(ISNUMBER(SEARCH("Blast",$L157)),(4+$F157+(2-$F157)*0.5)/6*2,(4+$F157)/6)) *
IF(ISNUMBER(SEARCH("Fusion",$L157)), _xlfn.IFS(AF$24-$I157 &lt;=1, 9/10, AF$24-$I157 &lt;=10,(11-(AF$24-$I157))/10, AF$24-$I157 &gt;=11, 0),
_xlfn.IFS(AF$24-$I157 &lt;=1, 5/6, AF$24-$I157 &lt;=5, (7-(AF$24-$I157))/6, AND(AF$24-$I157 =6,NOT(_xlfn.IFNA(ISNUMBER(SEARCH("Rending",$L157)),FALSE))), (7-(AF$24-$I157))/6, AND(AF$24-$I157 &gt;=7,NOT(_xlfn.IFNA(ISNUMBER(SEARCH("Rending",$L157)),FALSE))), 0, AF$24-$I157 =7, (7-(AF$24-1-$I157))/6, AF$24-$I157 =8, (7-(AF$24-2-$I157))/6*2/3, AF$24-$I157 =9, (7-(AF$24-3-$I157))/6*1/3, TRUE, 0)) *
IF(ISNUMBER(SEARCH("Ordinance",$L157)),7/6,1) *
IF(OR(ISNUMBER(SEARCH("Melee",$L157)),ISNUMBER(SEARCH("Bypass",$L157))),1.5,1)</f>
        <v>0</v>
      </c>
      <c r="AG157" s="16">
        <f t="shared" si="35"/>
        <v>0</v>
      </c>
      <c r="AH157" s="16">
        <f t="shared" si="36"/>
        <v>0</v>
      </c>
      <c r="AI157" s="17" cm="1">
        <f t="array" ref="AI157">$H157 *
IF(ISNUMBER(SEARCH("Rapid",$L157)),7/6,1) *
IF(OR(ISNUMBER(SEARCH("Beam",$L157)),ISNUMBER(SEARCH("Firestorm",$L157))),1, IF(ISNUMBER(SEARCH("Blast",$L157)),(4+$G157+(2-$G157)*0.5)/6*2,(4+$G157)/6)) *
_xlfn.IFS(AI$24-$I157 &lt;=1, 5/6, AI$24-$I157 &lt;=5, (7-(AI$24-$I157))/6, AND(AI$24-$I157 =6,NOT(_xlfn.IFNA(ISNUMBER(SEARCH("Rending",$L157)),FALSE))), (7-(AI$24-$I157))/6, AND(AI$24-$I157 &gt;=7,NOT(_xlfn.IFNA(ISNUMBER(SEARCH("Rending",$L157)),FALSE))), 0, AI$24-$I157 =7, (7-(AI$24-1-$I157))/6, AI$24-$I157 =8, (7-(AI$24-2-$I157))/6*2/3, AI$24-$I157 =9, (7-(AI$24-3-$I157))/6*1/3, TRUE, 0) *
IF(ISNUMBER(SEARCH("Ordinance",$L157)),7/6,1) *
IF(OR(ISNUMBER(SEARCH("Melee",$L157)),ISNUMBER(SEARCH("Bypass",$L157))),1.5,1)</f>
        <v>0</v>
      </c>
      <c r="AJ157" s="17" cm="1">
        <f t="array" ref="AJ157">$H157 *
IF(ISNUMBER(SEARCH("Rapid",$L157)),7/6,1) *
IF(OR(ISNUMBER(SEARCH("Beam",$L157)),ISNUMBER(SEARCH("Firestorm",$L157))),1, IF(ISNUMBER(SEARCH("Blast",$L157)),(4+$G157+(2-$G157)*0.5)/6*2,(4+$G157)/6)) *
_xlfn.IFS(AJ$24-$I157 &lt;=1, 5/6, AJ$24-$I157 &lt;=5, (7-(AJ$24-$I157))/6, AND(AJ$24-$I157 =6,NOT(_xlfn.IFNA(ISNUMBER(SEARCH("Rending",$L157)),FALSE))), (7-(AJ$24-$I157))/6, AND(AJ$24-$I157 &gt;=7,NOT(_xlfn.IFNA(ISNUMBER(SEARCH("Rending",$L157)),FALSE))), 0, AJ$24-$I157 =7, (7-(AJ$24-1-$I157))/6, AJ$24-$I157 =8, (7-(AJ$24-2-$I157))/6*2/3, AJ$24-$I157 =9, (7-(AJ$24-3-$I157))/6*1/3, TRUE, 0) *
IF(ISNUMBER(SEARCH("Ordinance",$L157)),7/6,1) *
IF(OR(ISNUMBER(SEARCH("Melee",$L157)),ISNUMBER(SEARCH("Bypass",$L157))),1.5,1)</f>
        <v>0</v>
      </c>
      <c r="AK157" s="17" cm="1">
        <f t="array" ref="AK157">$H157 *
IF(ISNUMBER(SEARCH("Rapid",$L157)),7/6,1) *
IF(OR(ISNUMBER(SEARCH("Beam",$L157)),ISNUMBER(SEARCH("Firestorm",$L157))),1, IF(ISNUMBER(SEARCH("Blast",$L157)),(4+$G157+(2-$G157)*0.5)/6*2,(4+$G157)/6)) *
_xlfn.IFS(AK$24-$I157 &lt;=1, 5/6, AK$24-$I157 &lt;=5, (7-(AK$24-$I157))/6, AND(AK$24-$I157 =6,NOT(_xlfn.IFNA(ISNUMBER(SEARCH("Rending",$L157)),FALSE))), (7-(AK$24-$I157))/6, AND(AK$24-$I157 &gt;=7,NOT(_xlfn.IFNA(ISNUMBER(SEARCH("Rending",$L157)),FALSE))), 0, AK$24-$I157 =7, (7-(AK$24-1-$I157))/6, AK$24-$I157 =8, (7-(AK$24-2-$I157))/6*2/3, AK$24-$I157 =9, (7-(AK$24-3-$I157))/6*1/3, TRUE, 0) *
IF(ISNUMBER(SEARCH("Ordinance",$L157)),7/6,1) *
IF(OR(ISNUMBER(SEARCH("Melee",$L157)),ISNUMBER(SEARCH("Bypass",$L157))),1.5,1)</f>
        <v>0</v>
      </c>
      <c r="AL157" s="17" cm="1">
        <f t="array" ref="AL157">$H157 *
IF(ISNUMBER(SEARCH("Rapid",$L157)),7/6,1) *
IF(OR(ISNUMBER(SEARCH("Beam",$L157)),ISNUMBER(SEARCH("Firestorm",$L157))),1, IF(ISNUMBER(SEARCH("Blast",$L157)),(4+$G157+(2-$G157)*0.5)/6*2,(4+$G157)/6)) *
_xlfn.IFS(AL$24-$I157 &lt;=1, 5/6, AL$24-$I157 &lt;=5, (7-(AL$24-$I157))/6, AND(AL$24-$I157 =6,NOT(_xlfn.IFNA(ISNUMBER(SEARCH("Rending",$L157)),FALSE))), (7-(AL$24-$I157))/6, AND(AL$24-$I157 &gt;=7,NOT(_xlfn.IFNA(ISNUMBER(SEARCH("Rending",$L157)),FALSE))), 0, AL$24-$I157 =7, (7-(AL$24-1-$I157))/6, AL$24-$I157 =8, (7-(AL$24-2-$I157))/6*2/3, AL$24-$I157 =9, (7-(AL$24-3-$I157))/6*1/3, TRUE, 0) *
IF(ISNUMBER(SEARCH("Ordinance",$L157)),7/6,1) *
IF(OR(ISNUMBER(SEARCH("Melee",$L157)),ISNUMBER(SEARCH("Bypass",$L157))),1.5,1)</f>
        <v>0</v>
      </c>
      <c r="AM157" s="17" cm="1">
        <f t="array" ref="AM157">$H157 *
IF(ISNUMBER(SEARCH("Rapid",$L157)),7/6,1) *
IF(OR(ISNUMBER(SEARCH("Beam",$L157)),ISNUMBER(SEARCH("Firestorm",$L157))),1, IF(ISNUMBER(SEARCH("Blast",$L157)),(4+$G157+(2-$G157)*0.5)/6*2,(4+$G157)/6)) *
_xlfn.IFS(AM$24-$I157 &lt;=1, 5/6, AM$24-$I157 &lt;=5, (7-(AM$24-$I157))/6, AND(AM$24-$I157 =6,NOT(_xlfn.IFNA(ISNUMBER(SEARCH("Rending",$L157)),FALSE))), (7-(AM$24-$I157))/6, AND(AM$24-$I157 &gt;=7,NOT(_xlfn.IFNA(ISNUMBER(SEARCH("Rending",$L157)),FALSE))), 0, AM$24-$I157 =7, (7-(AM$24-1-$I157))/6, AM$24-$I157 =8, (7-(AM$24-2-$I157))/6*2/3, AM$24-$I157 =9, (7-(AM$24-3-$I157))/6*1/3, TRUE, 0) *
IF(ISNUMBER(SEARCH("Ordinance",$L157)),7/6,1) *
IF(OR(ISNUMBER(SEARCH("Melee",$L157)),ISNUMBER(SEARCH("Bypass",$L157))),1.5,1)</f>
        <v>0</v>
      </c>
      <c r="AN157" s="17" cm="1">
        <f t="array" ref="AN157">$H157 *
IF(ISNUMBER(SEARCH("Rapid",$L157)),7/6,1) *
IF(OR(ISNUMBER(SEARCH("Beam",$L157)),ISNUMBER(SEARCH("Firestorm",$L157))),1, IF(ISNUMBER(SEARCH("Blast",$L157)),(4+$G157+(2-$G157)*0.5)/6*2,(4+$G157)/6)) *
_xlfn.IFS(AN$24-$I157 &lt;=1, 5/6, AN$24-$I157 &lt;=5, (7-(AN$24-$I157))/6, AND(AN$24-$I157 =6,NOT(_xlfn.IFNA(ISNUMBER(SEARCH("Rending",$L157)),FALSE))), (7-(AN$24-$I157))/6, AND(AN$24-$I157 &gt;=7,NOT(_xlfn.IFNA(ISNUMBER(SEARCH("Rending",$L157)),FALSE))), 0, AN$24-$I157 =7, (7-(AN$24-1-$I157))/6, AN$24-$I157 =8, (7-(AN$24-2-$I157))/6*2/3, AN$24-$I157 =9, (7-(AN$24-3-$I157))/6*1/3, TRUE, 0) *
IF(ISNUMBER(SEARCH("Ordinance",$L157)),7/6,1) *
IF(OR(ISNUMBER(SEARCH("Melee",$L157)),ISNUMBER(SEARCH("Bypass",$L157))),1.5,1)</f>
        <v>0</v>
      </c>
      <c r="AO157" s="17" cm="1">
        <f t="array" ref="AO157">$H157 *
IF(ISNUMBER(SEARCH("Rapid",$L157)),7/6,1) *
IF(OR(ISNUMBER(SEARCH("Beam",$L157)),ISNUMBER(SEARCH("Firestorm",$L157))),1, IF(ISNUMBER(SEARCH("Blast",$L157)),(4+$G157+(2-$G157)*0.5)/6*2,(4+$G157)/6)) *
_xlfn.IFS(AO$24-$I157 &lt;=1, 5/6, AO$24-$I157 &lt;=5, (7-(AO$24-$I157))/6, AND(AO$24-$I157 =6,NOT(_xlfn.IFNA(ISNUMBER(SEARCH("Rending",$L157)),FALSE))), (7-(AO$24-$I157))/6, AND(AO$24-$I157 &gt;=7,NOT(_xlfn.IFNA(ISNUMBER(SEARCH("Rending",$L157)),FALSE))), 0, AO$24-$I157 =7, (7-(AO$24-1-$I157))/6, AO$24-$I157 =8, (7-(AO$24-2-$I157))/6*2/3, AO$24-$I157 =9, (7-(AO$24-3-$I157))/6*1/3, TRUE, 0) *
IF(ISNUMBER(SEARCH("Ordinance",$L157)),7/6,1) *
IF(OR(ISNUMBER(SEARCH("Melee",$L157)),ISNUMBER(SEARCH("Bypass",$L157))),1.5,1)</f>
        <v>0</v>
      </c>
      <c r="AP157" s="17" cm="1">
        <f t="array" ref="AP157">$H157 *
IF(ISNUMBER(SEARCH("Rapid",$L157)),7/6,1) *
IF(OR(ISNUMBER(SEARCH("Beam",$L157)),ISNUMBER(SEARCH("Firestorm",$L157))),1, IF(ISNUMBER(SEARCH("Blast",$L157)),(4+$G157+(2-$G157)*0.5)/6*2,(4+$G157)/6)) *
_xlfn.IFS(AP$24-$I157 &lt;=1, 5/6, AP$24-$I157 &lt;=5, (7-(AP$24-$I157))/6, AND(AP$24-$I157 =6,NOT(_xlfn.IFNA(ISNUMBER(SEARCH("Rending",$L157)),FALSE))), (7-(AP$24-$I157))/6, AND(AP$24-$I157 &gt;=7,NOT(_xlfn.IFNA(ISNUMBER(SEARCH("Rending",$L157)),FALSE))), 0, AP$24-$I157 =7, (7-(AP$24-1-$I157))/6, AP$24-$I157 =8, (7-(AP$24-2-$I157))/6*2/3, AP$24-$I157 =9, (7-(AP$24-3-$I157))/6*1/3, TRUE, 0) *
IF(ISNUMBER(SEARCH("Ordinance",$L157)),7/6,1) *
IF(OR(ISNUMBER(SEARCH("Melee",$L157)),ISNUMBER(SEARCH("Bypass",$L157))),1.5,1)</f>
        <v>0</v>
      </c>
      <c r="AQ157" s="17" cm="1">
        <f t="array" ref="AQ157">$H157 *
IF(ISNUMBER(SEARCH("Rapid",$L157)),7/6,1) *
IF(OR(ISNUMBER(SEARCH("Beam",$L157)),ISNUMBER(SEARCH("Firestorm",$L157))),1, IF(ISNUMBER(SEARCH("Blast",$L157)),(4+$G157+(2-$G157)*0.5)/6*2,(4+$G157)/6)) *
_xlfn.IFS(AQ$24-$I157 &lt;=1, 5/6, AQ$24-$I157 &lt;=5, (7-(AQ$24-$I157))/6, AND(AQ$24-$I157 =6,NOT(_xlfn.IFNA(ISNUMBER(SEARCH("Rending",$L157)),FALSE))), (7-(AQ$24-$I157))/6, AND(AQ$24-$I157 &gt;=7,NOT(_xlfn.IFNA(ISNUMBER(SEARCH("Rending",$L157)),FALSE))), 0, AQ$24-$I157 =7, (7-(AQ$24-1-$I157))/6, AQ$24-$I157 =8, (7-(AQ$24-2-$I157))/6*2/3, AQ$24-$I157 =9, (7-(AQ$24-3-$I157))/6*1/3, TRUE, 0) *
IF(ISNUMBER(SEARCH("Ordinance",$L157)),7/6,1) *
IF(OR(ISNUMBER(SEARCH("Melee",$L157)),ISNUMBER(SEARCH("Bypass",$L157))),1.5,1)</f>
        <v>0</v>
      </c>
    </row>
    <row r="158" spans="1:48" x14ac:dyDescent="0.3">
      <c r="F158" s="10"/>
      <c r="G158" s="10"/>
      <c r="V158" s="16">
        <f t="shared" si="33"/>
        <v>0</v>
      </c>
      <c r="W158" s="16">
        <f t="shared" si="34"/>
        <v>0</v>
      </c>
      <c r="X158" s="17" cm="1">
        <f t="array" ref="X158">$H158 *
IF(ISNUMBER(SEARCH("Rapid",$L158)),7/6,1) *
IF(OR(ISNUMBER(SEARCH("Beam",$L158)),ISNUMBER(SEARCH("Firestorm",$L158))),1, IF(ISNUMBER(SEARCH("Blast",$L158)),(4+$F158+(2-$F158)*0.5)/6*2,(4+$F158)/6)) *
IF(ISNUMBER(SEARCH("Fusion",$L158)), _xlfn.IFS(X$24-$I158 &lt;=1, 9/10, X$24-$I158 &lt;=10,(11-(X$24-$I158))/10, X$24-$I158 &gt;=11, 0),
_xlfn.IFS(X$24-$I158 &lt;=1, 5/6, X$24-$I158 &lt;=5, (7-(X$24-$I158))/6, AND(X$24-$I158 =6,NOT(_xlfn.IFNA(ISNUMBER(SEARCH("Rending",$L158)),FALSE))), (7-(X$24-$I158))/6, AND(X$24-$I158 &gt;=7,NOT(_xlfn.IFNA(ISNUMBER(SEARCH("Rending",$L158)),FALSE))), 0, X$24-$I158 =7, (7-(X$24-1-$I158))/6, X$24-$I158 =8, (7-(X$24-2-$I158))/6*2/3, X$24-$I158 =9, (7-(X$24-3-$I158))/6*1/3, TRUE, 0)) *
IF(ISNUMBER(SEARCH("Ordinance",$L158)),7/6,1) *
IF(OR(ISNUMBER(SEARCH("Melee",$L158)),ISNUMBER(SEARCH("Bypass",$L158))),1.5,1)</f>
        <v>0</v>
      </c>
      <c r="Y158" s="17" cm="1">
        <f t="array" ref="Y158">$H158 *
IF(ISNUMBER(SEARCH("Rapid",$L158)),7/6,1) *
IF(OR(ISNUMBER(SEARCH("Beam",$L158)),ISNUMBER(SEARCH("Firestorm",$L158))),1, IF(ISNUMBER(SEARCH("Blast",$L158)),(4+$F158+(2-$F158)*0.5)/6*2,(4+$F158)/6)) *
IF(ISNUMBER(SEARCH("Fusion",$L158)), _xlfn.IFS(Y$24-$I158 &lt;=1, 9/10, Y$24-$I158 &lt;=10,(11-(Y$24-$I158))/10, Y$24-$I158 &gt;=11, 0),
_xlfn.IFS(Y$24-$I158 &lt;=1, 5/6, Y$24-$I158 &lt;=5, (7-(Y$24-$I158))/6, AND(Y$24-$I158 =6,NOT(_xlfn.IFNA(ISNUMBER(SEARCH("Rending",$L158)),FALSE))), (7-(Y$24-$I158))/6, AND(Y$24-$I158 &gt;=7,NOT(_xlfn.IFNA(ISNUMBER(SEARCH("Rending",$L158)),FALSE))), 0, Y$24-$I158 =7, (7-(Y$24-1-$I158))/6, Y$24-$I158 =8, (7-(Y$24-2-$I158))/6*2/3, Y$24-$I158 =9, (7-(Y$24-3-$I158))/6*1/3, TRUE, 0)) *
IF(ISNUMBER(SEARCH("Ordinance",$L158)),7/6,1) *
IF(OR(ISNUMBER(SEARCH("Melee",$L158)),ISNUMBER(SEARCH("Bypass",$L158))),1.5,1)</f>
        <v>0</v>
      </c>
      <c r="Z158" s="17" cm="1">
        <f t="array" ref="Z158">$H158 *
IF(ISNUMBER(SEARCH("Rapid",$L158)),7/6,1) *
IF(OR(ISNUMBER(SEARCH("Beam",$L158)),ISNUMBER(SEARCH("Firestorm",$L158))),1, IF(ISNUMBER(SEARCH("Blast",$L158)),(4+$F158+(2-$F158)*0.5)/6*2,(4+$F158)/6)) *
IF(ISNUMBER(SEARCH("Fusion",$L158)), _xlfn.IFS(Z$24-$I158 &lt;=1, 9/10, Z$24-$I158 &lt;=10,(11-(Z$24-$I158))/10, Z$24-$I158 &gt;=11, 0),
_xlfn.IFS(Z$24-$I158 &lt;=1, 5/6, Z$24-$I158 &lt;=5, (7-(Z$24-$I158))/6, AND(Z$24-$I158 =6,NOT(_xlfn.IFNA(ISNUMBER(SEARCH("Rending",$L158)),FALSE))), (7-(Z$24-$I158))/6, AND(Z$24-$I158 &gt;=7,NOT(_xlfn.IFNA(ISNUMBER(SEARCH("Rending",$L158)),FALSE))), 0, Z$24-$I158 =7, (7-(Z$24-1-$I158))/6, Z$24-$I158 =8, (7-(Z$24-2-$I158))/6*2/3, Z$24-$I158 =9, (7-(Z$24-3-$I158))/6*1/3, TRUE, 0)) *
IF(ISNUMBER(SEARCH("Ordinance",$L158)),7/6,1) *
IF(OR(ISNUMBER(SEARCH("Melee",$L158)),ISNUMBER(SEARCH("Bypass",$L158))),1.5,1)</f>
        <v>0</v>
      </c>
      <c r="AA158" s="17" cm="1">
        <f t="array" ref="AA158">$H158 *
IF(ISNUMBER(SEARCH("Rapid",$L158)),7/6,1) *
IF(OR(ISNUMBER(SEARCH("Beam",$L158)),ISNUMBER(SEARCH("Firestorm",$L158))),1, IF(ISNUMBER(SEARCH("Blast",$L158)),(4+$F158+(2-$F158)*0.5)/6*2,(4+$F158)/6)) *
IF(ISNUMBER(SEARCH("Fusion",$L158)), _xlfn.IFS(AA$24-$I158 &lt;=1, 9/10, AA$24-$I158 &lt;=10,(11-(AA$24-$I158))/10, AA$24-$I158 &gt;=11, 0),
_xlfn.IFS(AA$24-$I158 &lt;=1, 5/6, AA$24-$I158 &lt;=5, (7-(AA$24-$I158))/6, AND(AA$24-$I158 =6,NOT(_xlfn.IFNA(ISNUMBER(SEARCH("Rending",$L158)),FALSE))), (7-(AA$24-$I158))/6, AND(AA$24-$I158 &gt;=7,NOT(_xlfn.IFNA(ISNUMBER(SEARCH("Rending",$L158)),FALSE))), 0, AA$24-$I158 =7, (7-(AA$24-1-$I158))/6, AA$24-$I158 =8, (7-(AA$24-2-$I158))/6*2/3, AA$24-$I158 =9, (7-(AA$24-3-$I158))/6*1/3, TRUE, 0)) *
IF(ISNUMBER(SEARCH("Ordinance",$L158)),7/6,1) *
IF(OR(ISNUMBER(SEARCH("Melee",$L158)),ISNUMBER(SEARCH("Bypass",$L158))),1.5,1)</f>
        <v>0</v>
      </c>
      <c r="AB158" s="17" cm="1">
        <f t="array" ref="AB158">$H158 *
IF(ISNUMBER(SEARCH("Rapid",$L158)),7/6,1) *
IF(OR(ISNUMBER(SEARCH("Beam",$L158)),ISNUMBER(SEARCH("Firestorm",$L158))),1, IF(ISNUMBER(SEARCH("Blast",$L158)),(4+$F158+(2-$F158)*0.5)/6*2,(4+$F158)/6)) *
IF(ISNUMBER(SEARCH("Fusion",$L158)), _xlfn.IFS(AB$24-$I158 &lt;=1, 9/10, AB$24-$I158 &lt;=10,(11-(AB$24-$I158))/10, AB$24-$I158 &gt;=11, 0),
_xlfn.IFS(AB$24-$I158 &lt;=1, 5/6, AB$24-$I158 &lt;=5, (7-(AB$24-$I158))/6, AND(AB$24-$I158 =6,NOT(_xlfn.IFNA(ISNUMBER(SEARCH("Rending",$L158)),FALSE))), (7-(AB$24-$I158))/6, AND(AB$24-$I158 &gt;=7,NOT(_xlfn.IFNA(ISNUMBER(SEARCH("Rending",$L158)),FALSE))), 0, AB$24-$I158 =7, (7-(AB$24-1-$I158))/6, AB$24-$I158 =8, (7-(AB$24-2-$I158))/6*2/3, AB$24-$I158 =9, (7-(AB$24-3-$I158))/6*1/3, TRUE, 0)) *
IF(ISNUMBER(SEARCH("Ordinance",$L158)),7/6,1) *
IF(OR(ISNUMBER(SEARCH("Melee",$L158)),ISNUMBER(SEARCH("Bypass",$L158))),1.5,1)</f>
        <v>0</v>
      </c>
      <c r="AC158" s="17" cm="1">
        <f t="array" ref="AC158">$H158 *
IF(ISNUMBER(SEARCH("Rapid",$L158)),7/6,1) *
IF(OR(ISNUMBER(SEARCH("Beam",$L158)),ISNUMBER(SEARCH("Firestorm",$L158))),1, IF(ISNUMBER(SEARCH("Blast",$L158)),(4+$F158+(2-$F158)*0.5)/6*2,(4+$F158)/6)) *
IF(ISNUMBER(SEARCH("Fusion",$L158)), _xlfn.IFS(AC$24-$I158 &lt;=1, 9/10, AC$24-$I158 &lt;=10,(11-(AC$24-$I158))/10, AC$24-$I158 &gt;=11, 0),
_xlfn.IFS(AC$24-$I158 &lt;=1, 5/6, AC$24-$I158 &lt;=5, (7-(AC$24-$I158))/6, AND(AC$24-$I158 =6,NOT(_xlfn.IFNA(ISNUMBER(SEARCH("Rending",$L158)),FALSE))), (7-(AC$24-$I158))/6, AND(AC$24-$I158 &gt;=7,NOT(_xlfn.IFNA(ISNUMBER(SEARCH("Rending",$L158)),FALSE))), 0, AC$24-$I158 =7, (7-(AC$24-1-$I158))/6, AC$24-$I158 =8, (7-(AC$24-2-$I158))/6*2/3, AC$24-$I158 =9, (7-(AC$24-3-$I158))/6*1/3, TRUE, 0)) *
IF(ISNUMBER(SEARCH("Ordinance",$L158)),7/6,1) *
IF(OR(ISNUMBER(SEARCH("Melee",$L158)),ISNUMBER(SEARCH("Bypass",$L158))),1.5,1)</f>
        <v>0</v>
      </c>
      <c r="AD158" s="17" cm="1">
        <f t="array" ref="AD158">$H158 *
IF(ISNUMBER(SEARCH("Rapid",$L158)),7/6,1) *
IF(OR(ISNUMBER(SEARCH("Beam",$L158)),ISNUMBER(SEARCH("Firestorm",$L158))),1, IF(ISNUMBER(SEARCH("Blast",$L158)),(4+$F158+(2-$F158)*0.5)/6*2,(4+$F158)/6)) *
IF(ISNUMBER(SEARCH("Fusion",$L158)), _xlfn.IFS(AD$24-$I158 &lt;=1, 9/10, AD$24-$I158 &lt;=10,(11-(AD$24-$I158))/10, AD$24-$I158 &gt;=11, 0),
_xlfn.IFS(AD$24-$I158 &lt;=1, 5/6, AD$24-$I158 &lt;=5, (7-(AD$24-$I158))/6, AND(AD$24-$I158 =6,NOT(_xlfn.IFNA(ISNUMBER(SEARCH("Rending",$L158)),FALSE))), (7-(AD$24-$I158))/6, AND(AD$24-$I158 &gt;=7,NOT(_xlfn.IFNA(ISNUMBER(SEARCH("Rending",$L158)),FALSE))), 0, AD$24-$I158 =7, (7-(AD$24-1-$I158))/6, AD$24-$I158 =8, (7-(AD$24-2-$I158))/6*2/3, AD$24-$I158 =9, (7-(AD$24-3-$I158))/6*1/3, TRUE, 0)) *
IF(ISNUMBER(SEARCH("Ordinance",$L158)),7/6,1) *
IF(OR(ISNUMBER(SEARCH("Melee",$L158)),ISNUMBER(SEARCH("Bypass",$L158))),1.5,1)</f>
        <v>0</v>
      </c>
      <c r="AE158" s="17" cm="1">
        <f t="array" ref="AE158">$H158 *
IF(ISNUMBER(SEARCH("Rapid",$L158)),7/6,1) *
IF(OR(ISNUMBER(SEARCH("Beam",$L158)),ISNUMBER(SEARCH("Firestorm",$L158))),1, IF(ISNUMBER(SEARCH("Blast",$L158)),(4+$F158+(2-$F158)*0.5)/6*2,(4+$F158)/6)) *
IF(ISNUMBER(SEARCH("Fusion",$L158)), _xlfn.IFS(AE$24-$I158 &lt;=1, 9/10, AE$24-$I158 &lt;=10,(11-(AE$24-$I158))/10, AE$24-$I158 &gt;=11, 0),
_xlfn.IFS(AE$24-$I158 &lt;=1, 5/6, AE$24-$I158 &lt;=5, (7-(AE$24-$I158))/6, AND(AE$24-$I158 =6,NOT(_xlfn.IFNA(ISNUMBER(SEARCH("Rending",$L158)),FALSE))), (7-(AE$24-$I158))/6, AND(AE$24-$I158 &gt;=7,NOT(_xlfn.IFNA(ISNUMBER(SEARCH("Rending",$L158)),FALSE))), 0, AE$24-$I158 =7, (7-(AE$24-1-$I158))/6, AE$24-$I158 =8, (7-(AE$24-2-$I158))/6*2/3, AE$24-$I158 =9, (7-(AE$24-3-$I158))/6*1/3, TRUE, 0)) *
IF(ISNUMBER(SEARCH("Ordinance",$L158)),7/6,1) *
IF(OR(ISNUMBER(SEARCH("Melee",$L158)),ISNUMBER(SEARCH("Bypass",$L158))),1.5,1)</f>
        <v>0</v>
      </c>
      <c r="AF158" s="17" cm="1">
        <f t="array" ref="AF158">$H158 *
IF(ISNUMBER(SEARCH("Rapid",$L158)),7/6,1) *
IF(OR(ISNUMBER(SEARCH("Beam",$L158)),ISNUMBER(SEARCH("Firestorm",$L158))),1, IF(ISNUMBER(SEARCH("Blast",$L158)),(4+$F158+(2-$F158)*0.5)/6*2,(4+$F158)/6)) *
IF(ISNUMBER(SEARCH("Fusion",$L158)), _xlfn.IFS(AF$24-$I158 &lt;=1, 9/10, AF$24-$I158 &lt;=10,(11-(AF$24-$I158))/10, AF$24-$I158 &gt;=11, 0),
_xlfn.IFS(AF$24-$I158 &lt;=1, 5/6, AF$24-$I158 &lt;=5, (7-(AF$24-$I158))/6, AND(AF$24-$I158 =6,NOT(_xlfn.IFNA(ISNUMBER(SEARCH("Rending",$L158)),FALSE))), (7-(AF$24-$I158))/6, AND(AF$24-$I158 &gt;=7,NOT(_xlfn.IFNA(ISNUMBER(SEARCH("Rending",$L158)),FALSE))), 0, AF$24-$I158 =7, (7-(AF$24-1-$I158))/6, AF$24-$I158 =8, (7-(AF$24-2-$I158))/6*2/3, AF$24-$I158 =9, (7-(AF$24-3-$I158))/6*1/3, TRUE, 0)) *
IF(ISNUMBER(SEARCH("Ordinance",$L158)),7/6,1) *
IF(OR(ISNUMBER(SEARCH("Melee",$L158)),ISNUMBER(SEARCH("Bypass",$L158))),1.5,1)</f>
        <v>0</v>
      </c>
      <c r="AG158" s="16">
        <f t="shared" si="35"/>
        <v>0</v>
      </c>
      <c r="AH158" s="16">
        <f t="shared" si="36"/>
        <v>0</v>
      </c>
      <c r="AI158" s="17" cm="1">
        <f t="array" ref="AI158">$H158 *
IF(ISNUMBER(SEARCH("Rapid",$L158)),7/6,1) *
IF(OR(ISNUMBER(SEARCH("Beam",$L158)),ISNUMBER(SEARCH("Firestorm",$L158))),1, IF(ISNUMBER(SEARCH("Blast",$L158)),(4+$G158+(2-$G158)*0.5)/6*2,(4+$G158)/6)) *
_xlfn.IFS(AI$24-$I158 &lt;=1, 5/6, AI$24-$I158 &lt;=5, (7-(AI$24-$I158))/6, AND(AI$24-$I158 =6,NOT(_xlfn.IFNA(ISNUMBER(SEARCH("Rending",$L158)),FALSE))), (7-(AI$24-$I158))/6, AND(AI$24-$I158 &gt;=7,NOT(_xlfn.IFNA(ISNUMBER(SEARCH("Rending",$L158)),FALSE))), 0, AI$24-$I158 =7, (7-(AI$24-1-$I158))/6, AI$24-$I158 =8, (7-(AI$24-2-$I158))/6*2/3, AI$24-$I158 =9, (7-(AI$24-3-$I158))/6*1/3, TRUE, 0) *
IF(ISNUMBER(SEARCH("Ordinance",$L158)),7/6,1) *
IF(OR(ISNUMBER(SEARCH("Melee",$L158)),ISNUMBER(SEARCH("Bypass",$L158))),1.5,1)</f>
        <v>0</v>
      </c>
      <c r="AJ158" s="17" cm="1">
        <f t="array" ref="AJ158">$H158 *
IF(ISNUMBER(SEARCH("Rapid",$L158)),7/6,1) *
IF(OR(ISNUMBER(SEARCH("Beam",$L158)),ISNUMBER(SEARCH("Firestorm",$L158))),1, IF(ISNUMBER(SEARCH("Blast",$L158)),(4+$G158+(2-$G158)*0.5)/6*2,(4+$G158)/6)) *
_xlfn.IFS(AJ$24-$I158 &lt;=1, 5/6, AJ$24-$I158 &lt;=5, (7-(AJ$24-$I158))/6, AND(AJ$24-$I158 =6,NOT(_xlfn.IFNA(ISNUMBER(SEARCH("Rending",$L158)),FALSE))), (7-(AJ$24-$I158))/6, AND(AJ$24-$I158 &gt;=7,NOT(_xlfn.IFNA(ISNUMBER(SEARCH("Rending",$L158)),FALSE))), 0, AJ$24-$I158 =7, (7-(AJ$24-1-$I158))/6, AJ$24-$I158 =8, (7-(AJ$24-2-$I158))/6*2/3, AJ$24-$I158 =9, (7-(AJ$24-3-$I158))/6*1/3, TRUE, 0) *
IF(ISNUMBER(SEARCH("Ordinance",$L158)),7/6,1) *
IF(OR(ISNUMBER(SEARCH("Melee",$L158)),ISNUMBER(SEARCH("Bypass",$L158))),1.5,1)</f>
        <v>0</v>
      </c>
      <c r="AK158" s="17" cm="1">
        <f t="array" ref="AK158">$H158 *
IF(ISNUMBER(SEARCH("Rapid",$L158)),7/6,1) *
IF(OR(ISNUMBER(SEARCH("Beam",$L158)),ISNUMBER(SEARCH("Firestorm",$L158))),1, IF(ISNUMBER(SEARCH("Blast",$L158)),(4+$G158+(2-$G158)*0.5)/6*2,(4+$G158)/6)) *
_xlfn.IFS(AK$24-$I158 &lt;=1, 5/6, AK$24-$I158 &lt;=5, (7-(AK$24-$I158))/6, AND(AK$24-$I158 =6,NOT(_xlfn.IFNA(ISNUMBER(SEARCH("Rending",$L158)),FALSE))), (7-(AK$24-$I158))/6, AND(AK$24-$I158 &gt;=7,NOT(_xlfn.IFNA(ISNUMBER(SEARCH("Rending",$L158)),FALSE))), 0, AK$24-$I158 =7, (7-(AK$24-1-$I158))/6, AK$24-$I158 =8, (7-(AK$24-2-$I158))/6*2/3, AK$24-$I158 =9, (7-(AK$24-3-$I158))/6*1/3, TRUE, 0) *
IF(ISNUMBER(SEARCH("Ordinance",$L158)),7/6,1) *
IF(OR(ISNUMBER(SEARCH("Melee",$L158)),ISNUMBER(SEARCH("Bypass",$L158))),1.5,1)</f>
        <v>0</v>
      </c>
      <c r="AL158" s="17" cm="1">
        <f t="array" ref="AL158">$H158 *
IF(ISNUMBER(SEARCH("Rapid",$L158)),7/6,1) *
IF(OR(ISNUMBER(SEARCH("Beam",$L158)),ISNUMBER(SEARCH("Firestorm",$L158))),1, IF(ISNUMBER(SEARCH("Blast",$L158)),(4+$G158+(2-$G158)*0.5)/6*2,(4+$G158)/6)) *
_xlfn.IFS(AL$24-$I158 &lt;=1, 5/6, AL$24-$I158 &lt;=5, (7-(AL$24-$I158))/6, AND(AL$24-$I158 =6,NOT(_xlfn.IFNA(ISNUMBER(SEARCH("Rending",$L158)),FALSE))), (7-(AL$24-$I158))/6, AND(AL$24-$I158 &gt;=7,NOT(_xlfn.IFNA(ISNUMBER(SEARCH("Rending",$L158)),FALSE))), 0, AL$24-$I158 =7, (7-(AL$24-1-$I158))/6, AL$24-$I158 =8, (7-(AL$24-2-$I158))/6*2/3, AL$24-$I158 =9, (7-(AL$24-3-$I158))/6*1/3, TRUE, 0) *
IF(ISNUMBER(SEARCH("Ordinance",$L158)),7/6,1) *
IF(OR(ISNUMBER(SEARCH("Melee",$L158)),ISNUMBER(SEARCH("Bypass",$L158))),1.5,1)</f>
        <v>0</v>
      </c>
      <c r="AM158" s="17" cm="1">
        <f t="array" ref="AM158">$H158 *
IF(ISNUMBER(SEARCH("Rapid",$L158)),7/6,1) *
IF(OR(ISNUMBER(SEARCH("Beam",$L158)),ISNUMBER(SEARCH("Firestorm",$L158))),1, IF(ISNUMBER(SEARCH("Blast",$L158)),(4+$G158+(2-$G158)*0.5)/6*2,(4+$G158)/6)) *
_xlfn.IFS(AM$24-$I158 &lt;=1, 5/6, AM$24-$I158 &lt;=5, (7-(AM$24-$I158))/6, AND(AM$24-$I158 =6,NOT(_xlfn.IFNA(ISNUMBER(SEARCH("Rending",$L158)),FALSE))), (7-(AM$24-$I158))/6, AND(AM$24-$I158 &gt;=7,NOT(_xlfn.IFNA(ISNUMBER(SEARCH("Rending",$L158)),FALSE))), 0, AM$24-$I158 =7, (7-(AM$24-1-$I158))/6, AM$24-$I158 =8, (7-(AM$24-2-$I158))/6*2/3, AM$24-$I158 =9, (7-(AM$24-3-$I158))/6*1/3, TRUE, 0) *
IF(ISNUMBER(SEARCH("Ordinance",$L158)),7/6,1) *
IF(OR(ISNUMBER(SEARCH("Melee",$L158)),ISNUMBER(SEARCH("Bypass",$L158))),1.5,1)</f>
        <v>0</v>
      </c>
      <c r="AN158" s="17" cm="1">
        <f t="array" ref="AN158">$H158 *
IF(ISNUMBER(SEARCH("Rapid",$L158)),7/6,1) *
IF(OR(ISNUMBER(SEARCH("Beam",$L158)),ISNUMBER(SEARCH("Firestorm",$L158))),1, IF(ISNUMBER(SEARCH("Blast",$L158)),(4+$G158+(2-$G158)*0.5)/6*2,(4+$G158)/6)) *
_xlfn.IFS(AN$24-$I158 &lt;=1, 5/6, AN$24-$I158 &lt;=5, (7-(AN$24-$I158))/6, AND(AN$24-$I158 =6,NOT(_xlfn.IFNA(ISNUMBER(SEARCH("Rending",$L158)),FALSE))), (7-(AN$24-$I158))/6, AND(AN$24-$I158 &gt;=7,NOT(_xlfn.IFNA(ISNUMBER(SEARCH("Rending",$L158)),FALSE))), 0, AN$24-$I158 =7, (7-(AN$24-1-$I158))/6, AN$24-$I158 =8, (7-(AN$24-2-$I158))/6*2/3, AN$24-$I158 =9, (7-(AN$24-3-$I158))/6*1/3, TRUE, 0) *
IF(ISNUMBER(SEARCH("Ordinance",$L158)),7/6,1) *
IF(OR(ISNUMBER(SEARCH("Melee",$L158)),ISNUMBER(SEARCH("Bypass",$L158))),1.5,1)</f>
        <v>0</v>
      </c>
      <c r="AO158" s="17" cm="1">
        <f t="array" ref="AO158">$H158 *
IF(ISNUMBER(SEARCH("Rapid",$L158)),7/6,1) *
IF(OR(ISNUMBER(SEARCH("Beam",$L158)),ISNUMBER(SEARCH("Firestorm",$L158))),1, IF(ISNUMBER(SEARCH("Blast",$L158)),(4+$G158+(2-$G158)*0.5)/6*2,(4+$G158)/6)) *
_xlfn.IFS(AO$24-$I158 &lt;=1, 5/6, AO$24-$I158 &lt;=5, (7-(AO$24-$I158))/6, AND(AO$24-$I158 =6,NOT(_xlfn.IFNA(ISNUMBER(SEARCH("Rending",$L158)),FALSE))), (7-(AO$24-$I158))/6, AND(AO$24-$I158 &gt;=7,NOT(_xlfn.IFNA(ISNUMBER(SEARCH("Rending",$L158)),FALSE))), 0, AO$24-$I158 =7, (7-(AO$24-1-$I158))/6, AO$24-$I158 =8, (7-(AO$24-2-$I158))/6*2/3, AO$24-$I158 =9, (7-(AO$24-3-$I158))/6*1/3, TRUE, 0) *
IF(ISNUMBER(SEARCH("Ordinance",$L158)),7/6,1) *
IF(OR(ISNUMBER(SEARCH("Melee",$L158)),ISNUMBER(SEARCH("Bypass",$L158))),1.5,1)</f>
        <v>0</v>
      </c>
      <c r="AP158" s="17" cm="1">
        <f t="array" ref="AP158">$H158 *
IF(ISNUMBER(SEARCH("Rapid",$L158)),7/6,1) *
IF(OR(ISNUMBER(SEARCH("Beam",$L158)),ISNUMBER(SEARCH("Firestorm",$L158))),1, IF(ISNUMBER(SEARCH("Blast",$L158)),(4+$G158+(2-$G158)*0.5)/6*2,(4+$G158)/6)) *
_xlfn.IFS(AP$24-$I158 &lt;=1, 5/6, AP$24-$I158 &lt;=5, (7-(AP$24-$I158))/6, AND(AP$24-$I158 =6,NOT(_xlfn.IFNA(ISNUMBER(SEARCH("Rending",$L158)),FALSE))), (7-(AP$24-$I158))/6, AND(AP$24-$I158 &gt;=7,NOT(_xlfn.IFNA(ISNUMBER(SEARCH("Rending",$L158)),FALSE))), 0, AP$24-$I158 =7, (7-(AP$24-1-$I158))/6, AP$24-$I158 =8, (7-(AP$24-2-$I158))/6*2/3, AP$24-$I158 =9, (7-(AP$24-3-$I158))/6*1/3, TRUE, 0) *
IF(ISNUMBER(SEARCH("Ordinance",$L158)),7/6,1) *
IF(OR(ISNUMBER(SEARCH("Melee",$L158)),ISNUMBER(SEARCH("Bypass",$L158))),1.5,1)</f>
        <v>0</v>
      </c>
      <c r="AQ158" s="17" cm="1">
        <f t="array" ref="AQ158">$H158 *
IF(ISNUMBER(SEARCH("Rapid",$L158)),7/6,1) *
IF(OR(ISNUMBER(SEARCH("Beam",$L158)),ISNUMBER(SEARCH("Firestorm",$L158))),1, IF(ISNUMBER(SEARCH("Blast",$L158)),(4+$G158+(2-$G158)*0.5)/6*2,(4+$G158)/6)) *
_xlfn.IFS(AQ$24-$I158 &lt;=1, 5/6, AQ$24-$I158 &lt;=5, (7-(AQ$24-$I158))/6, AND(AQ$24-$I158 =6,NOT(_xlfn.IFNA(ISNUMBER(SEARCH("Rending",$L158)),FALSE))), (7-(AQ$24-$I158))/6, AND(AQ$24-$I158 &gt;=7,NOT(_xlfn.IFNA(ISNUMBER(SEARCH("Rending",$L158)),FALSE))), 0, AQ$24-$I158 =7, (7-(AQ$24-1-$I158))/6, AQ$24-$I158 =8, (7-(AQ$24-2-$I158))/6*2/3, AQ$24-$I158 =9, (7-(AQ$24-3-$I158))/6*1/3, TRUE, 0) *
IF(ISNUMBER(SEARCH("Ordinance",$L158)),7/6,1) *
IF(OR(ISNUMBER(SEARCH("Melee",$L158)),ISNUMBER(SEARCH("Bypass",$L158))),1.5,1)</f>
        <v>0</v>
      </c>
    </row>
    <row r="159" spans="1:48" x14ac:dyDescent="0.3">
      <c r="F159" s="10"/>
      <c r="G159" s="10"/>
      <c r="V159" s="16">
        <f t="shared" si="33"/>
        <v>0</v>
      </c>
      <c r="W159" s="16">
        <f t="shared" si="34"/>
        <v>0</v>
      </c>
      <c r="X159" s="17" cm="1">
        <f t="array" ref="X159">$H159 *
IF(ISNUMBER(SEARCH("Rapid",$L159)),7/6,1) *
IF(OR(ISNUMBER(SEARCH("Beam",$L159)),ISNUMBER(SEARCH("Firestorm",$L159))),1, IF(ISNUMBER(SEARCH("Blast",$L159)),(4+$F159+(2-$F159)*0.5)/6*2,(4+$F159)/6)) *
IF(ISNUMBER(SEARCH("Fusion",$L159)), _xlfn.IFS(X$24-$I159 &lt;=1, 9/10, X$24-$I159 &lt;=10,(11-(X$24-$I159))/10, X$24-$I159 &gt;=11, 0),
_xlfn.IFS(X$24-$I159 &lt;=1, 5/6, X$24-$I159 &lt;=5, (7-(X$24-$I159))/6, AND(X$24-$I159 =6,NOT(_xlfn.IFNA(ISNUMBER(SEARCH("Rending",$L159)),FALSE))), (7-(X$24-$I159))/6, AND(X$24-$I159 &gt;=7,NOT(_xlfn.IFNA(ISNUMBER(SEARCH("Rending",$L159)),FALSE))), 0, X$24-$I159 =7, (7-(X$24-1-$I159))/6, X$24-$I159 =8, (7-(X$24-2-$I159))/6*2/3, X$24-$I159 =9, (7-(X$24-3-$I159))/6*1/3, TRUE, 0)) *
IF(ISNUMBER(SEARCH("Ordinance",$L159)),7/6,1) *
IF(OR(ISNUMBER(SEARCH("Melee",$L159)),ISNUMBER(SEARCH("Bypass",$L159))),1.5,1)</f>
        <v>0</v>
      </c>
      <c r="Y159" s="17" cm="1">
        <f t="array" ref="Y159">$H159 *
IF(ISNUMBER(SEARCH("Rapid",$L159)),7/6,1) *
IF(OR(ISNUMBER(SEARCH("Beam",$L159)),ISNUMBER(SEARCH("Firestorm",$L159))),1, IF(ISNUMBER(SEARCH("Blast",$L159)),(4+$F159+(2-$F159)*0.5)/6*2,(4+$F159)/6)) *
IF(ISNUMBER(SEARCH("Fusion",$L159)), _xlfn.IFS(Y$24-$I159 &lt;=1, 9/10, Y$24-$I159 &lt;=10,(11-(Y$24-$I159))/10, Y$24-$I159 &gt;=11, 0),
_xlfn.IFS(Y$24-$I159 &lt;=1, 5/6, Y$24-$I159 &lt;=5, (7-(Y$24-$I159))/6, AND(Y$24-$I159 =6,NOT(_xlfn.IFNA(ISNUMBER(SEARCH("Rending",$L159)),FALSE))), (7-(Y$24-$I159))/6, AND(Y$24-$I159 &gt;=7,NOT(_xlfn.IFNA(ISNUMBER(SEARCH("Rending",$L159)),FALSE))), 0, Y$24-$I159 =7, (7-(Y$24-1-$I159))/6, Y$24-$I159 =8, (7-(Y$24-2-$I159))/6*2/3, Y$24-$I159 =9, (7-(Y$24-3-$I159))/6*1/3, TRUE, 0)) *
IF(ISNUMBER(SEARCH("Ordinance",$L159)),7/6,1) *
IF(OR(ISNUMBER(SEARCH("Melee",$L159)),ISNUMBER(SEARCH("Bypass",$L159))),1.5,1)</f>
        <v>0</v>
      </c>
      <c r="Z159" s="17" cm="1">
        <f t="array" ref="Z159">$H159 *
IF(ISNUMBER(SEARCH("Rapid",$L159)),7/6,1) *
IF(OR(ISNUMBER(SEARCH("Beam",$L159)),ISNUMBER(SEARCH("Firestorm",$L159))),1, IF(ISNUMBER(SEARCH("Blast",$L159)),(4+$F159+(2-$F159)*0.5)/6*2,(4+$F159)/6)) *
IF(ISNUMBER(SEARCH("Fusion",$L159)), _xlfn.IFS(Z$24-$I159 &lt;=1, 9/10, Z$24-$I159 &lt;=10,(11-(Z$24-$I159))/10, Z$24-$I159 &gt;=11, 0),
_xlfn.IFS(Z$24-$I159 &lt;=1, 5/6, Z$24-$I159 &lt;=5, (7-(Z$24-$I159))/6, AND(Z$24-$I159 =6,NOT(_xlfn.IFNA(ISNUMBER(SEARCH("Rending",$L159)),FALSE))), (7-(Z$24-$I159))/6, AND(Z$24-$I159 &gt;=7,NOT(_xlfn.IFNA(ISNUMBER(SEARCH("Rending",$L159)),FALSE))), 0, Z$24-$I159 =7, (7-(Z$24-1-$I159))/6, Z$24-$I159 =8, (7-(Z$24-2-$I159))/6*2/3, Z$24-$I159 =9, (7-(Z$24-3-$I159))/6*1/3, TRUE, 0)) *
IF(ISNUMBER(SEARCH("Ordinance",$L159)),7/6,1) *
IF(OR(ISNUMBER(SEARCH("Melee",$L159)),ISNUMBER(SEARCH("Bypass",$L159))),1.5,1)</f>
        <v>0</v>
      </c>
      <c r="AA159" s="17" cm="1">
        <f t="array" ref="AA159">$H159 *
IF(ISNUMBER(SEARCH("Rapid",$L159)),7/6,1) *
IF(OR(ISNUMBER(SEARCH("Beam",$L159)),ISNUMBER(SEARCH("Firestorm",$L159))),1, IF(ISNUMBER(SEARCH("Blast",$L159)),(4+$F159+(2-$F159)*0.5)/6*2,(4+$F159)/6)) *
IF(ISNUMBER(SEARCH("Fusion",$L159)), _xlfn.IFS(AA$24-$I159 &lt;=1, 9/10, AA$24-$I159 &lt;=10,(11-(AA$24-$I159))/10, AA$24-$I159 &gt;=11, 0),
_xlfn.IFS(AA$24-$I159 &lt;=1, 5/6, AA$24-$I159 &lt;=5, (7-(AA$24-$I159))/6, AND(AA$24-$I159 =6,NOT(_xlfn.IFNA(ISNUMBER(SEARCH("Rending",$L159)),FALSE))), (7-(AA$24-$I159))/6, AND(AA$24-$I159 &gt;=7,NOT(_xlfn.IFNA(ISNUMBER(SEARCH("Rending",$L159)),FALSE))), 0, AA$24-$I159 =7, (7-(AA$24-1-$I159))/6, AA$24-$I159 =8, (7-(AA$24-2-$I159))/6*2/3, AA$24-$I159 =9, (7-(AA$24-3-$I159))/6*1/3, TRUE, 0)) *
IF(ISNUMBER(SEARCH("Ordinance",$L159)),7/6,1) *
IF(OR(ISNUMBER(SEARCH("Melee",$L159)),ISNUMBER(SEARCH("Bypass",$L159))),1.5,1)</f>
        <v>0</v>
      </c>
      <c r="AB159" s="17" cm="1">
        <f t="array" ref="AB159">$H159 *
IF(ISNUMBER(SEARCH("Rapid",$L159)),7/6,1) *
IF(OR(ISNUMBER(SEARCH("Beam",$L159)),ISNUMBER(SEARCH("Firestorm",$L159))),1, IF(ISNUMBER(SEARCH("Blast",$L159)),(4+$F159+(2-$F159)*0.5)/6*2,(4+$F159)/6)) *
IF(ISNUMBER(SEARCH("Fusion",$L159)), _xlfn.IFS(AB$24-$I159 &lt;=1, 9/10, AB$24-$I159 &lt;=10,(11-(AB$24-$I159))/10, AB$24-$I159 &gt;=11, 0),
_xlfn.IFS(AB$24-$I159 &lt;=1, 5/6, AB$24-$I159 &lt;=5, (7-(AB$24-$I159))/6, AND(AB$24-$I159 =6,NOT(_xlfn.IFNA(ISNUMBER(SEARCH("Rending",$L159)),FALSE))), (7-(AB$24-$I159))/6, AND(AB$24-$I159 &gt;=7,NOT(_xlfn.IFNA(ISNUMBER(SEARCH("Rending",$L159)),FALSE))), 0, AB$24-$I159 =7, (7-(AB$24-1-$I159))/6, AB$24-$I159 =8, (7-(AB$24-2-$I159))/6*2/3, AB$24-$I159 =9, (7-(AB$24-3-$I159))/6*1/3, TRUE, 0)) *
IF(ISNUMBER(SEARCH("Ordinance",$L159)),7/6,1) *
IF(OR(ISNUMBER(SEARCH("Melee",$L159)),ISNUMBER(SEARCH("Bypass",$L159))),1.5,1)</f>
        <v>0</v>
      </c>
      <c r="AC159" s="17" cm="1">
        <f t="array" ref="AC159">$H159 *
IF(ISNUMBER(SEARCH("Rapid",$L159)),7/6,1) *
IF(OR(ISNUMBER(SEARCH("Beam",$L159)),ISNUMBER(SEARCH("Firestorm",$L159))),1, IF(ISNUMBER(SEARCH("Blast",$L159)),(4+$F159+(2-$F159)*0.5)/6*2,(4+$F159)/6)) *
IF(ISNUMBER(SEARCH("Fusion",$L159)), _xlfn.IFS(AC$24-$I159 &lt;=1, 9/10, AC$24-$I159 &lt;=10,(11-(AC$24-$I159))/10, AC$24-$I159 &gt;=11, 0),
_xlfn.IFS(AC$24-$I159 &lt;=1, 5/6, AC$24-$I159 &lt;=5, (7-(AC$24-$I159))/6, AND(AC$24-$I159 =6,NOT(_xlfn.IFNA(ISNUMBER(SEARCH("Rending",$L159)),FALSE))), (7-(AC$24-$I159))/6, AND(AC$24-$I159 &gt;=7,NOT(_xlfn.IFNA(ISNUMBER(SEARCH("Rending",$L159)),FALSE))), 0, AC$24-$I159 =7, (7-(AC$24-1-$I159))/6, AC$24-$I159 =8, (7-(AC$24-2-$I159))/6*2/3, AC$24-$I159 =9, (7-(AC$24-3-$I159))/6*1/3, TRUE, 0)) *
IF(ISNUMBER(SEARCH("Ordinance",$L159)),7/6,1) *
IF(OR(ISNUMBER(SEARCH("Melee",$L159)),ISNUMBER(SEARCH("Bypass",$L159))),1.5,1)</f>
        <v>0</v>
      </c>
      <c r="AD159" s="17" cm="1">
        <f t="array" ref="AD159">$H159 *
IF(ISNUMBER(SEARCH("Rapid",$L159)),7/6,1) *
IF(OR(ISNUMBER(SEARCH("Beam",$L159)),ISNUMBER(SEARCH("Firestorm",$L159))),1, IF(ISNUMBER(SEARCH("Blast",$L159)),(4+$F159+(2-$F159)*0.5)/6*2,(4+$F159)/6)) *
IF(ISNUMBER(SEARCH("Fusion",$L159)), _xlfn.IFS(AD$24-$I159 &lt;=1, 9/10, AD$24-$I159 &lt;=10,(11-(AD$24-$I159))/10, AD$24-$I159 &gt;=11, 0),
_xlfn.IFS(AD$24-$I159 &lt;=1, 5/6, AD$24-$I159 &lt;=5, (7-(AD$24-$I159))/6, AND(AD$24-$I159 =6,NOT(_xlfn.IFNA(ISNUMBER(SEARCH("Rending",$L159)),FALSE))), (7-(AD$24-$I159))/6, AND(AD$24-$I159 &gt;=7,NOT(_xlfn.IFNA(ISNUMBER(SEARCH("Rending",$L159)),FALSE))), 0, AD$24-$I159 =7, (7-(AD$24-1-$I159))/6, AD$24-$I159 =8, (7-(AD$24-2-$I159))/6*2/3, AD$24-$I159 =9, (7-(AD$24-3-$I159))/6*1/3, TRUE, 0)) *
IF(ISNUMBER(SEARCH("Ordinance",$L159)),7/6,1) *
IF(OR(ISNUMBER(SEARCH("Melee",$L159)),ISNUMBER(SEARCH("Bypass",$L159))),1.5,1)</f>
        <v>0</v>
      </c>
      <c r="AE159" s="17" cm="1">
        <f t="array" ref="AE159">$H159 *
IF(ISNUMBER(SEARCH("Rapid",$L159)),7/6,1) *
IF(OR(ISNUMBER(SEARCH("Beam",$L159)),ISNUMBER(SEARCH("Firestorm",$L159))),1, IF(ISNUMBER(SEARCH("Blast",$L159)),(4+$F159+(2-$F159)*0.5)/6*2,(4+$F159)/6)) *
IF(ISNUMBER(SEARCH("Fusion",$L159)), _xlfn.IFS(AE$24-$I159 &lt;=1, 9/10, AE$24-$I159 &lt;=10,(11-(AE$24-$I159))/10, AE$24-$I159 &gt;=11, 0),
_xlfn.IFS(AE$24-$I159 &lt;=1, 5/6, AE$24-$I159 &lt;=5, (7-(AE$24-$I159))/6, AND(AE$24-$I159 =6,NOT(_xlfn.IFNA(ISNUMBER(SEARCH("Rending",$L159)),FALSE))), (7-(AE$24-$I159))/6, AND(AE$24-$I159 &gt;=7,NOT(_xlfn.IFNA(ISNUMBER(SEARCH("Rending",$L159)),FALSE))), 0, AE$24-$I159 =7, (7-(AE$24-1-$I159))/6, AE$24-$I159 =8, (7-(AE$24-2-$I159))/6*2/3, AE$24-$I159 =9, (7-(AE$24-3-$I159))/6*1/3, TRUE, 0)) *
IF(ISNUMBER(SEARCH("Ordinance",$L159)),7/6,1) *
IF(OR(ISNUMBER(SEARCH("Melee",$L159)),ISNUMBER(SEARCH("Bypass",$L159))),1.5,1)</f>
        <v>0</v>
      </c>
      <c r="AF159" s="17" cm="1">
        <f t="array" ref="AF159">$H159 *
IF(ISNUMBER(SEARCH("Rapid",$L159)),7/6,1) *
IF(OR(ISNUMBER(SEARCH("Beam",$L159)),ISNUMBER(SEARCH("Firestorm",$L159))),1, IF(ISNUMBER(SEARCH("Blast",$L159)),(4+$F159+(2-$F159)*0.5)/6*2,(4+$F159)/6)) *
IF(ISNUMBER(SEARCH("Fusion",$L159)), _xlfn.IFS(AF$24-$I159 &lt;=1, 9/10, AF$24-$I159 &lt;=10,(11-(AF$24-$I159))/10, AF$24-$I159 &gt;=11, 0),
_xlfn.IFS(AF$24-$I159 &lt;=1, 5/6, AF$24-$I159 &lt;=5, (7-(AF$24-$I159))/6, AND(AF$24-$I159 =6,NOT(_xlfn.IFNA(ISNUMBER(SEARCH("Rending",$L159)),FALSE))), (7-(AF$24-$I159))/6, AND(AF$24-$I159 &gt;=7,NOT(_xlfn.IFNA(ISNUMBER(SEARCH("Rending",$L159)),FALSE))), 0, AF$24-$I159 =7, (7-(AF$24-1-$I159))/6, AF$24-$I159 =8, (7-(AF$24-2-$I159))/6*2/3, AF$24-$I159 =9, (7-(AF$24-3-$I159))/6*1/3, TRUE, 0)) *
IF(ISNUMBER(SEARCH("Ordinance",$L159)),7/6,1) *
IF(OR(ISNUMBER(SEARCH("Melee",$L159)),ISNUMBER(SEARCH("Bypass",$L159))),1.5,1)</f>
        <v>0</v>
      </c>
      <c r="AG159" s="16">
        <f t="shared" si="35"/>
        <v>0</v>
      </c>
      <c r="AH159" s="16">
        <f t="shared" si="36"/>
        <v>0</v>
      </c>
      <c r="AI159" s="17" cm="1">
        <f t="array" ref="AI159">$H159 *
IF(ISNUMBER(SEARCH("Rapid",$L159)),7/6,1) *
IF(OR(ISNUMBER(SEARCH("Beam",$L159)),ISNUMBER(SEARCH("Firestorm",$L159))),1, IF(ISNUMBER(SEARCH("Blast",$L159)),(4+$G159+(2-$G159)*0.5)/6*2,(4+$G159)/6)) *
_xlfn.IFS(AI$24-$I159 &lt;=1, 5/6, AI$24-$I159 &lt;=5, (7-(AI$24-$I159))/6, AND(AI$24-$I159 =6,NOT(_xlfn.IFNA(ISNUMBER(SEARCH("Rending",$L159)),FALSE))), (7-(AI$24-$I159))/6, AND(AI$24-$I159 &gt;=7,NOT(_xlfn.IFNA(ISNUMBER(SEARCH("Rending",$L159)),FALSE))), 0, AI$24-$I159 =7, (7-(AI$24-1-$I159))/6, AI$24-$I159 =8, (7-(AI$24-2-$I159))/6*2/3, AI$24-$I159 =9, (7-(AI$24-3-$I159))/6*1/3, TRUE, 0) *
IF(ISNUMBER(SEARCH("Ordinance",$L159)),7/6,1) *
IF(OR(ISNUMBER(SEARCH("Melee",$L159)),ISNUMBER(SEARCH("Bypass",$L159))),1.5,1)</f>
        <v>0</v>
      </c>
      <c r="AJ159" s="17" cm="1">
        <f t="array" ref="AJ159">$H159 *
IF(ISNUMBER(SEARCH("Rapid",$L159)),7/6,1) *
IF(OR(ISNUMBER(SEARCH("Beam",$L159)),ISNUMBER(SEARCH("Firestorm",$L159))),1, IF(ISNUMBER(SEARCH("Blast",$L159)),(4+$G159+(2-$G159)*0.5)/6*2,(4+$G159)/6)) *
_xlfn.IFS(AJ$24-$I159 &lt;=1, 5/6, AJ$24-$I159 &lt;=5, (7-(AJ$24-$I159))/6, AND(AJ$24-$I159 =6,NOT(_xlfn.IFNA(ISNUMBER(SEARCH("Rending",$L159)),FALSE))), (7-(AJ$24-$I159))/6, AND(AJ$24-$I159 &gt;=7,NOT(_xlfn.IFNA(ISNUMBER(SEARCH("Rending",$L159)),FALSE))), 0, AJ$24-$I159 =7, (7-(AJ$24-1-$I159))/6, AJ$24-$I159 =8, (7-(AJ$24-2-$I159))/6*2/3, AJ$24-$I159 =9, (7-(AJ$24-3-$I159))/6*1/3, TRUE, 0) *
IF(ISNUMBER(SEARCH("Ordinance",$L159)),7/6,1) *
IF(OR(ISNUMBER(SEARCH("Melee",$L159)),ISNUMBER(SEARCH("Bypass",$L159))),1.5,1)</f>
        <v>0</v>
      </c>
      <c r="AK159" s="17" cm="1">
        <f t="array" ref="AK159">$H159 *
IF(ISNUMBER(SEARCH("Rapid",$L159)),7/6,1) *
IF(OR(ISNUMBER(SEARCH("Beam",$L159)),ISNUMBER(SEARCH("Firestorm",$L159))),1, IF(ISNUMBER(SEARCH("Blast",$L159)),(4+$G159+(2-$G159)*0.5)/6*2,(4+$G159)/6)) *
_xlfn.IFS(AK$24-$I159 &lt;=1, 5/6, AK$24-$I159 &lt;=5, (7-(AK$24-$I159))/6, AND(AK$24-$I159 =6,NOT(_xlfn.IFNA(ISNUMBER(SEARCH("Rending",$L159)),FALSE))), (7-(AK$24-$I159))/6, AND(AK$24-$I159 &gt;=7,NOT(_xlfn.IFNA(ISNUMBER(SEARCH("Rending",$L159)),FALSE))), 0, AK$24-$I159 =7, (7-(AK$24-1-$I159))/6, AK$24-$I159 =8, (7-(AK$24-2-$I159))/6*2/3, AK$24-$I159 =9, (7-(AK$24-3-$I159))/6*1/3, TRUE, 0) *
IF(ISNUMBER(SEARCH("Ordinance",$L159)),7/6,1) *
IF(OR(ISNUMBER(SEARCH("Melee",$L159)),ISNUMBER(SEARCH("Bypass",$L159))),1.5,1)</f>
        <v>0</v>
      </c>
      <c r="AL159" s="17" cm="1">
        <f t="array" ref="AL159">$H159 *
IF(ISNUMBER(SEARCH("Rapid",$L159)),7/6,1) *
IF(OR(ISNUMBER(SEARCH("Beam",$L159)),ISNUMBER(SEARCH("Firestorm",$L159))),1, IF(ISNUMBER(SEARCH("Blast",$L159)),(4+$G159+(2-$G159)*0.5)/6*2,(4+$G159)/6)) *
_xlfn.IFS(AL$24-$I159 &lt;=1, 5/6, AL$24-$I159 &lt;=5, (7-(AL$24-$I159))/6, AND(AL$24-$I159 =6,NOT(_xlfn.IFNA(ISNUMBER(SEARCH("Rending",$L159)),FALSE))), (7-(AL$24-$I159))/6, AND(AL$24-$I159 &gt;=7,NOT(_xlfn.IFNA(ISNUMBER(SEARCH("Rending",$L159)),FALSE))), 0, AL$24-$I159 =7, (7-(AL$24-1-$I159))/6, AL$24-$I159 =8, (7-(AL$24-2-$I159))/6*2/3, AL$24-$I159 =9, (7-(AL$24-3-$I159))/6*1/3, TRUE, 0) *
IF(ISNUMBER(SEARCH("Ordinance",$L159)),7/6,1) *
IF(OR(ISNUMBER(SEARCH("Melee",$L159)),ISNUMBER(SEARCH("Bypass",$L159))),1.5,1)</f>
        <v>0</v>
      </c>
      <c r="AM159" s="17" cm="1">
        <f t="array" ref="AM159">$H159 *
IF(ISNUMBER(SEARCH("Rapid",$L159)),7/6,1) *
IF(OR(ISNUMBER(SEARCH("Beam",$L159)),ISNUMBER(SEARCH("Firestorm",$L159))),1, IF(ISNUMBER(SEARCH("Blast",$L159)),(4+$G159+(2-$G159)*0.5)/6*2,(4+$G159)/6)) *
_xlfn.IFS(AM$24-$I159 &lt;=1, 5/6, AM$24-$I159 &lt;=5, (7-(AM$24-$I159))/6, AND(AM$24-$I159 =6,NOT(_xlfn.IFNA(ISNUMBER(SEARCH("Rending",$L159)),FALSE))), (7-(AM$24-$I159))/6, AND(AM$24-$I159 &gt;=7,NOT(_xlfn.IFNA(ISNUMBER(SEARCH("Rending",$L159)),FALSE))), 0, AM$24-$I159 =7, (7-(AM$24-1-$I159))/6, AM$24-$I159 =8, (7-(AM$24-2-$I159))/6*2/3, AM$24-$I159 =9, (7-(AM$24-3-$I159))/6*1/3, TRUE, 0) *
IF(ISNUMBER(SEARCH("Ordinance",$L159)),7/6,1) *
IF(OR(ISNUMBER(SEARCH("Melee",$L159)),ISNUMBER(SEARCH("Bypass",$L159))),1.5,1)</f>
        <v>0</v>
      </c>
      <c r="AN159" s="17" cm="1">
        <f t="array" ref="AN159">$H159 *
IF(ISNUMBER(SEARCH("Rapid",$L159)),7/6,1) *
IF(OR(ISNUMBER(SEARCH("Beam",$L159)),ISNUMBER(SEARCH("Firestorm",$L159))),1, IF(ISNUMBER(SEARCH("Blast",$L159)),(4+$G159+(2-$G159)*0.5)/6*2,(4+$G159)/6)) *
_xlfn.IFS(AN$24-$I159 &lt;=1, 5/6, AN$24-$I159 &lt;=5, (7-(AN$24-$I159))/6, AND(AN$24-$I159 =6,NOT(_xlfn.IFNA(ISNUMBER(SEARCH("Rending",$L159)),FALSE))), (7-(AN$24-$I159))/6, AND(AN$24-$I159 &gt;=7,NOT(_xlfn.IFNA(ISNUMBER(SEARCH("Rending",$L159)),FALSE))), 0, AN$24-$I159 =7, (7-(AN$24-1-$I159))/6, AN$24-$I159 =8, (7-(AN$24-2-$I159))/6*2/3, AN$24-$I159 =9, (7-(AN$24-3-$I159))/6*1/3, TRUE, 0) *
IF(ISNUMBER(SEARCH("Ordinance",$L159)),7/6,1) *
IF(OR(ISNUMBER(SEARCH("Melee",$L159)),ISNUMBER(SEARCH("Bypass",$L159))),1.5,1)</f>
        <v>0</v>
      </c>
      <c r="AO159" s="17" cm="1">
        <f t="array" ref="AO159">$H159 *
IF(ISNUMBER(SEARCH("Rapid",$L159)),7/6,1) *
IF(OR(ISNUMBER(SEARCH("Beam",$L159)),ISNUMBER(SEARCH("Firestorm",$L159))),1, IF(ISNUMBER(SEARCH("Blast",$L159)),(4+$G159+(2-$G159)*0.5)/6*2,(4+$G159)/6)) *
_xlfn.IFS(AO$24-$I159 &lt;=1, 5/6, AO$24-$I159 &lt;=5, (7-(AO$24-$I159))/6, AND(AO$24-$I159 =6,NOT(_xlfn.IFNA(ISNUMBER(SEARCH("Rending",$L159)),FALSE))), (7-(AO$24-$I159))/6, AND(AO$24-$I159 &gt;=7,NOT(_xlfn.IFNA(ISNUMBER(SEARCH("Rending",$L159)),FALSE))), 0, AO$24-$I159 =7, (7-(AO$24-1-$I159))/6, AO$24-$I159 =8, (7-(AO$24-2-$I159))/6*2/3, AO$24-$I159 =9, (7-(AO$24-3-$I159))/6*1/3, TRUE, 0) *
IF(ISNUMBER(SEARCH("Ordinance",$L159)),7/6,1) *
IF(OR(ISNUMBER(SEARCH("Melee",$L159)),ISNUMBER(SEARCH("Bypass",$L159))),1.5,1)</f>
        <v>0</v>
      </c>
      <c r="AP159" s="17" cm="1">
        <f t="array" ref="AP159">$H159 *
IF(ISNUMBER(SEARCH("Rapid",$L159)),7/6,1) *
IF(OR(ISNUMBER(SEARCH("Beam",$L159)),ISNUMBER(SEARCH("Firestorm",$L159))),1, IF(ISNUMBER(SEARCH("Blast",$L159)),(4+$G159+(2-$G159)*0.5)/6*2,(4+$G159)/6)) *
_xlfn.IFS(AP$24-$I159 &lt;=1, 5/6, AP$24-$I159 &lt;=5, (7-(AP$24-$I159))/6, AND(AP$24-$I159 =6,NOT(_xlfn.IFNA(ISNUMBER(SEARCH("Rending",$L159)),FALSE))), (7-(AP$24-$I159))/6, AND(AP$24-$I159 &gt;=7,NOT(_xlfn.IFNA(ISNUMBER(SEARCH("Rending",$L159)),FALSE))), 0, AP$24-$I159 =7, (7-(AP$24-1-$I159))/6, AP$24-$I159 =8, (7-(AP$24-2-$I159))/6*2/3, AP$24-$I159 =9, (7-(AP$24-3-$I159))/6*1/3, TRUE, 0) *
IF(ISNUMBER(SEARCH("Ordinance",$L159)),7/6,1) *
IF(OR(ISNUMBER(SEARCH("Melee",$L159)),ISNUMBER(SEARCH("Bypass",$L159))),1.5,1)</f>
        <v>0</v>
      </c>
      <c r="AQ159" s="17" cm="1">
        <f t="array" ref="AQ159">$H159 *
IF(ISNUMBER(SEARCH("Rapid",$L159)),7/6,1) *
IF(OR(ISNUMBER(SEARCH("Beam",$L159)),ISNUMBER(SEARCH("Firestorm",$L159))),1, IF(ISNUMBER(SEARCH("Blast",$L159)),(4+$G159+(2-$G159)*0.5)/6*2,(4+$G159)/6)) *
_xlfn.IFS(AQ$24-$I159 &lt;=1, 5/6, AQ$24-$I159 &lt;=5, (7-(AQ$24-$I159))/6, AND(AQ$24-$I159 =6,NOT(_xlfn.IFNA(ISNUMBER(SEARCH("Rending",$L159)),FALSE))), (7-(AQ$24-$I159))/6, AND(AQ$24-$I159 &gt;=7,NOT(_xlfn.IFNA(ISNUMBER(SEARCH("Rending",$L159)),FALSE))), 0, AQ$24-$I159 =7, (7-(AQ$24-1-$I159))/6, AQ$24-$I159 =8, (7-(AQ$24-2-$I159))/6*2/3, AQ$24-$I159 =9, (7-(AQ$24-3-$I159))/6*1/3, TRUE, 0) *
IF(ISNUMBER(SEARCH("Ordinance",$L159)),7/6,1) *
IF(OR(ISNUMBER(SEARCH("Melee",$L159)),ISNUMBER(SEARCH("Bypass",$L159))),1.5,1)</f>
        <v>0</v>
      </c>
    </row>
    <row r="160" spans="1:48" x14ac:dyDescent="0.3">
      <c r="A160" s="6" t="s">
        <v>471</v>
      </c>
      <c r="F160" s="10"/>
      <c r="G160" s="10"/>
      <c r="V160" s="16">
        <f t="shared" si="33"/>
        <v>0</v>
      </c>
      <c r="W160" s="16">
        <f t="shared" si="34"/>
        <v>0</v>
      </c>
      <c r="X160" s="17" cm="1">
        <f t="array" ref="X160">$H160 *
IF(ISNUMBER(SEARCH("Rapid",$L160)),7/6,1) *
IF(OR(ISNUMBER(SEARCH("Beam",$L160)),ISNUMBER(SEARCH("Firestorm",$L160))),1, IF(ISNUMBER(SEARCH("Blast",$L160)),(4+$F160+(2-$F160)*0.5)/6*2,(4+$F160)/6)) *
IF(ISNUMBER(SEARCH("Fusion",$L160)), _xlfn.IFS(X$24-$I160 &lt;=1, 9/10, X$24-$I160 &lt;=10,(11-(X$24-$I160))/10, X$24-$I160 &gt;=11, 0),
_xlfn.IFS(X$24-$I160 &lt;=1, 5/6, X$24-$I160 &lt;=5, (7-(X$24-$I160))/6, AND(X$24-$I160 =6,NOT(_xlfn.IFNA(ISNUMBER(SEARCH("Rending",$L160)),FALSE))), (7-(X$24-$I160))/6, AND(X$24-$I160 &gt;=7,NOT(_xlfn.IFNA(ISNUMBER(SEARCH("Rending",$L160)),FALSE))), 0, X$24-$I160 =7, (7-(X$24-1-$I160))/6, X$24-$I160 =8, (7-(X$24-2-$I160))/6*2/3, X$24-$I160 =9, (7-(X$24-3-$I160))/6*1/3, TRUE, 0)) *
IF(ISNUMBER(SEARCH("Ordinance",$L160)),7/6,1) *
IF(OR(ISNUMBER(SEARCH("Melee",$L160)),ISNUMBER(SEARCH("Bypass",$L160))),1.5,1)</f>
        <v>0</v>
      </c>
      <c r="Y160" s="17" cm="1">
        <f t="array" ref="Y160">$H160 *
IF(ISNUMBER(SEARCH("Rapid",$L160)),7/6,1) *
IF(OR(ISNUMBER(SEARCH("Beam",$L160)),ISNUMBER(SEARCH("Firestorm",$L160))),1, IF(ISNUMBER(SEARCH("Blast",$L160)),(4+$F160+(2-$F160)*0.5)/6*2,(4+$F160)/6)) *
IF(ISNUMBER(SEARCH("Fusion",$L160)), _xlfn.IFS(Y$24-$I160 &lt;=1, 9/10, Y$24-$I160 &lt;=10,(11-(Y$24-$I160))/10, Y$24-$I160 &gt;=11, 0),
_xlfn.IFS(Y$24-$I160 &lt;=1, 5/6, Y$24-$I160 &lt;=5, (7-(Y$24-$I160))/6, AND(Y$24-$I160 =6,NOT(_xlfn.IFNA(ISNUMBER(SEARCH("Rending",$L160)),FALSE))), (7-(Y$24-$I160))/6, AND(Y$24-$I160 &gt;=7,NOT(_xlfn.IFNA(ISNUMBER(SEARCH("Rending",$L160)),FALSE))), 0, Y$24-$I160 =7, (7-(Y$24-1-$I160))/6, Y$24-$I160 =8, (7-(Y$24-2-$I160))/6*2/3, Y$24-$I160 =9, (7-(Y$24-3-$I160))/6*1/3, TRUE, 0)) *
IF(ISNUMBER(SEARCH("Ordinance",$L160)),7/6,1) *
IF(OR(ISNUMBER(SEARCH("Melee",$L160)),ISNUMBER(SEARCH("Bypass",$L160))),1.5,1)</f>
        <v>0</v>
      </c>
      <c r="Z160" s="17" cm="1">
        <f t="array" ref="Z160">$H160 *
IF(ISNUMBER(SEARCH("Rapid",$L160)),7/6,1) *
IF(OR(ISNUMBER(SEARCH("Beam",$L160)),ISNUMBER(SEARCH("Firestorm",$L160))),1, IF(ISNUMBER(SEARCH("Blast",$L160)),(4+$F160+(2-$F160)*0.5)/6*2,(4+$F160)/6)) *
IF(ISNUMBER(SEARCH("Fusion",$L160)), _xlfn.IFS(Z$24-$I160 &lt;=1, 9/10, Z$24-$I160 &lt;=10,(11-(Z$24-$I160))/10, Z$24-$I160 &gt;=11, 0),
_xlfn.IFS(Z$24-$I160 &lt;=1, 5/6, Z$24-$I160 &lt;=5, (7-(Z$24-$I160))/6, AND(Z$24-$I160 =6,NOT(_xlfn.IFNA(ISNUMBER(SEARCH("Rending",$L160)),FALSE))), (7-(Z$24-$I160))/6, AND(Z$24-$I160 &gt;=7,NOT(_xlfn.IFNA(ISNUMBER(SEARCH("Rending",$L160)),FALSE))), 0, Z$24-$I160 =7, (7-(Z$24-1-$I160))/6, Z$24-$I160 =8, (7-(Z$24-2-$I160))/6*2/3, Z$24-$I160 =9, (7-(Z$24-3-$I160))/6*1/3, TRUE, 0)) *
IF(ISNUMBER(SEARCH("Ordinance",$L160)),7/6,1) *
IF(OR(ISNUMBER(SEARCH("Melee",$L160)),ISNUMBER(SEARCH("Bypass",$L160))),1.5,1)</f>
        <v>0</v>
      </c>
      <c r="AA160" s="17" cm="1">
        <f t="array" ref="AA160">$H160 *
IF(ISNUMBER(SEARCH("Rapid",$L160)),7/6,1) *
IF(OR(ISNUMBER(SEARCH("Beam",$L160)),ISNUMBER(SEARCH("Firestorm",$L160))),1, IF(ISNUMBER(SEARCH("Blast",$L160)),(4+$F160+(2-$F160)*0.5)/6*2,(4+$F160)/6)) *
IF(ISNUMBER(SEARCH("Fusion",$L160)), _xlfn.IFS(AA$24-$I160 &lt;=1, 9/10, AA$24-$I160 &lt;=10,(11-(AA$24-$I160))/10, AA$24-$I160 &gt;=11, 0),
_xlfn.IFS(AA$24-$I160 &lt;=1, 5/6, AA$24-$I160 &lt;=5, (7-(AA$24-$I160))/6, AND(AA$24-$I160 =6,NOT(_xlfn.IFNA(ISNUMBER(SEARCH("Rending",$L160)),FALSE))), (7-(AA$24-$I160))/6, AND(AA$24-$I160 &gt;=7,NOT(_xlfn.IFNA(ISNUMBER(SEARCH("Rending",$L160)),FALSE))), 0, AA$24-$I160 =7, (7-(AA$24-1-$I160))/6, AA$24-$I160 =8, (7-(AA$24-2-$I160))/6*2/3, AA$24-$I160 =9, (7-(AA$24-3-$I160))/6*1/3, TRUE, 0)) *
IF(ISNUMBER(SEARCH("Ordinance",$L160)),7/6,1) *
IF(OR(ISNUMBER(SEARCH("Melee",$L160)),ISNUMBER(SEARCH("Bypass",$L160))),1.5,1)</f>
        <v>0</v>
      </c>
      <c r="AB160" s="17" cm="1">
        <f t="array" ref="AB160">$H160 *
IF(ISNUMBER(SEARCH("Rapid",$L160)),7/6,1) *
IF(OR(ISNUMBER(SEARCH("Beam",$L160)),ISNUMBER(SEARCH("Firestorm",$L160))),1, IF(ISNUMBER(SEARCH("Blast",$L160)),(4+$F160+(2-$F160)*0.5)/6*2,(4+$F160)/6)) *
IF(ISNUMBER(SEARCH("Fusion",$L160)), _xlfn.IFS(AB$24-$I160 &lt;=1, 9/10, AB$24-$I160 &lt;=10,(11-(AB$24-$I160))/10, AB$24-$I160 &gt;=11, 0),
_xlfn.IFS(AB$24-$I160 &lt;=1, 5/6, AB$24-$I160 &lt;=5, (7-(AB$24-$I160))/6, AND(AB$24-$I160 =6,NOT(_xlfn.IFNA(ISNUMBER(SEARCH("Rending",$L160)),FALSE))), (7-(AB$24-$I160))/6, AND(AB$24-$I160 &gt;=7,NOT(_xlfn.IFNA(ISNUMBER(SEARCH("Rending",$L160)),FALSE))), 0, AB$24-$I160 =7, (7-(AB$24-1-$I160))/6, AB$24-$I160 =8, (7-(AB$24-2-$I160))/6*2/3, AB$24-$I160 =9, (7-(AB$24-3-$I160))/6*1/3, TRUE, 0)) *
IF(ISNUMBER(SEARCH("Ordinance",$L160)),7/6,1) *
IF(OR(ISNUMBER(SEARCH("Melee",$L160)),ISNUMBER(SEARCH("Bypass",$L160))),1.5,1)</f>
        <v>0</v>
      </c>
      <c r="AC160" s="17" cm="1">
        <f t="array" ref="AC160">$H160 *
IF(ISNUMBER(SEARCH("Rapid",$L160)),7/6,1) *
IF(OR(ISNUMBER(SEARCH("Beam",$L160)),ISNUMBER(SEARCH("Firestorm",$L160))),1, IF(ISNUMBER(SEARCH("Blast",$L160)),(4+$F160+(2-$F160)*0.5)/6*2,(4+$F160)/6)) *
IF(ISNUMBER(SEARCH("Fusion",$L160)), _xlfn.IFS(AC$24-$I160 &lt;=1, 9/10, AC$24-$I160 &lt;=10,(11-(AC$24-$I160))/10, AC$24-$I160 &gt;=11, 0),
_xlfn.IFS(AC$24-$I160 &lt;=1, 5/6, AC$24-$I160 &lt;=5, (7-(AC$24-$I160))/6, AND(AC$24-$I160 =6,NOT(_xlfn.IFNA(ISNUMBER(SEARCH("Rending",$L160)),FALSE))), (7-(AC$24-$I160))/6, AND(AC$24-$I160 &gt;=7,NOT(_xlfn.IFNA(ISNUMBER(SEARCH("Rending",$L160)),FALSE))), 0, AC$24-$I160 =7, (7-(AC$24-1-$I160))/6, AC$24-$I160 =8, (7-(AC$24-2-$I160))/6*2/3, AC$24-$I160 =9, (7-(AC$24-3-$I160))/6*1/3, TRUE, 0)) *
IF(ISNUMBER(SEARCH("Ordinance",$L160)),7/6,1) *
IF(OR(ISNUMBER(SEARCH("Melee",$L160)),ISNUMBER(SEARCH("Bypass",$L160))),1.5,1)</f>
        <v>0</v>
      </c>
      <c r="AD160" s="17" cm="1">
        <f t="array" ref="AD160">$H160 *
IF(ISNUMBER(SEARCH("Rapid",$L160)),7/6,1) *
IF(OR(ISNUMBER(SEARCH("Beam",$L160)),ISNUMBER(SEARCH("Firestorm",$L160))),1, IF(ISNUMBER(SEARCH("Blast",$L160)),(4+$F160+(2-$F160)*0.5)/6*2,(4+$F160)/6)) *
IF(ISNUMBER(SEARCH("Fusion",$L160)), _xlfn.IFS(AD$24-$I160 &lt;=1, 9/10, AD$24-$I160 &lt;=10,(11-(AD$24-$I160))/10, AD$24-$I160 &gt;=11, 0),
_xlfn.IFS(AD$24-$I160 &lt;=1, 5/6, AD$24-$I160 &lt;=5, (7-(AD$24-$I160))/6, AND(AD$24-$I160 =6,NOT(_xlfn.IFNA(ISNUMBER(SEARCH("Rending",$L160)),FALSE))), (7-(AD$24-$I160))/6, AND(AD$24-$I160 &gt;=7,NOT(_xlfn.IFNA(ISNUMBER(SEARCH("Rending",$L160)),FALSE))), 0, AD$24-$I160 =7, (7-(AD$24-1-$I160))/6, AD$24-$I160 =8, (7-(AD$24-2-$I160))/6*2/3, AD$24-$I160 =9, (7-(AD$24-3-$I160))/6*1/3, TRUE, 0)) *
IF(ISNUMBER(SEARCH("Ordinance",$L160)),7/6,1) *
IF(OR(ISNUMBER(SEARCH("Melee",$L160)),ISNUMBER(SEARCH("Bypass",$L160))),1.5,1)</f>
        <v>0</v>
      </c>
      <c r="AE160" s="17" cm="1">
        <f t="array" ref="AE160">$H160 *
IF(ISNUMBER(SEARCH("Rapid",$L160)),7/6,1) *
IF(OR(ISNUMBER(SEARCH("Beam",$L160)),ISNUMBER(SEARCH("Firestorm",$L160))),1, IF(ISNUMBER(SEARCH("Blast",$L160)),(4+$F160+(2-$F160)*0.5)/6*2,(4+$F160)/6)) *
IF(ISNUMBER(SEARCH("Fusion",$L160)), _xlfn.IFS(AE$24-$I160 &lt;=1, 9/10, AE$24-$I160 &lt;=10,(11-(AE$24-$I160))/10, AE$24-$I160 &gt;=11, 0),
_xlfn.IFS(AE$24-$I160 &lt;=1, 5/6, AE$24-$I160 &lt;=5, (7-(AE$24-$I160))/6, AND(AE$24-$I160 =6,NOT(_xlfn.IFNA(ISNUMBER(SEARCH("Rending",$L160)),FALSE))), (7-(AE$24-$I160))/6, AND(AE$24-$I160 &gt;=7,NOT(_xlfn.IFNA(ISNUMBER(SEARCH("Rending",$L160)),FALSE))), 0, AE$24-$I160 =7, (7-(AE$24-1-$I160))/6, AE$24-$I160 =8, (7-(AE$24-2-$I160))/6*2/3, AE$24-$I160 =9, (7-(AE$24-3-$I160))/6*1/3, TRUE, 0)) *
IF(ISNUMBER(SEARCH("Ordinance",$L160)),7/6,1) *
IF(OR(ISNUMBER(SEARCH("Melee",$L160)),ISNUMBER(SEARCH("Bypass",$L160))),1.5,1)</f>
        <v>0</v>
      </c>
      <c r="AF160" s="17" cm="1">
        <f t="array" ref="AF160">$H160 *
IF(ISNUMBER(SEARCH("Rapid",$L160)),7/6,1) *
IF(OR(ISNUMBER(SEARCH("Beam",$L160)),ISNUMBER(SEARCH("Firestorm",$L160))),1, IF(ISNUMBER(SEARCH("Blast",$L160)),(4+$F160+(2-$F160)*0.5)/6*2,(4+$F160)/6)) *
IF(ISNUMBER(SEARCH("Fusion",$L160)), _xlfn.IFS(AF$24-$I160 &lt;=1, 9/10, AF$24-$I160 &lt;=10,(11-(AF$24-$I160))/10, AF$24-$I160 &gt;=11, 0),
_xlfn.IFS(AF$24-$I160 &lt;=1, 5/6, AF$24-$I160 &lt;=5, (7-(AF$24-$I160))/6, AND(AF$24-$I160 =6,NOT(_xlfn.IFNA(ISNUMBER(SEARCH("Rending",$L160)),FALSE))), (7-(AF$24-$I160))/6, AND(AF$24-$I160 &gt;=7,NOT(_xlfn.IFNA(ISNUMBER(SEARCH("Rending",$L160)),FALSE))), 0, AF$24-$I160 =7, (7-(AF$24-1-$I160))/6, AF$24-$I160 =8, (7-(AF$24-2-$I160))/6*2/3, AF$24-$I160 =9, (7-(AF$24-3-$I160))/6*1/3, TRUE, 0)) *
IF(ISNUMBER(SEARCH("Ordinance",$L160)),7/6,1) *
IF(OR(ISNUMBER(SEARCH("Melee",$L160)),ISNUMBER(SEARCH("Bypass",$L160))),1.5,1)</f>
        <v>0</v>
      </c>
      <c r="AG160" s="16">
        <f t="shared" si="35"/>
        <v>0</v>
      </c>
      <c r="AH160" s="16">
        <f t="shared" si="36"/>
        <v>0</v>
      </c>
      <c r="AI160" s="17" cm="1">
        <f t="array" ref="AI160">$H160 *
IF(ISNUMBER(SEARCH("Rapid",$L160)),7/6,1) *
IF(OR(ISNUMBER(SEARCH("Beam",$L160)),ISNUMBER(SEARCH("Firestorm",$L160))),1, IF(ISNUMBER(SEARCH("Blast",$L160)),(4+$G160+(2-$G160)*0.5)/6*2,(4+$G160)/6)) *
_xlfn.IFS(AI$24-$I160 &lt;=1, 5/6, AI$24-$I160 &lt;=5, (7-(AI$24-$I160))/6, AND(AI$24-$I160 =6,NOT(_xlfn.IFNA(ISNUMBER(SEARCH("Rending",$L160)),FALSE))), (7-(AI$24-$I160))/6, AND(AI$24-$I160 &gt;=7,NOT(_xlfn.IFNA(ISNUMBER(SEARCH("Rending",$L160)),FALSE))), 0, AI$24-$I160 =7, (7-(AI$24-1-$I160))/6, AI$24-$I160 =8, (7-(AI$24-2-$I160))/6*2/3, AI$24-$I160 =9, (7-(AI$24-3-$I160))/6*1/3, TRUE, 0) *
IF(ISNUMBER(SEARCH("Ordinance",$L160)),7/6,1) *
IF(OR(ISNUMBER(SEARCH("Melee",$L160)),ISNUMBER(SEARCH("Bypass",$L160))),1.5,1)</f>
        <v>0</v>
      </c>
      <c r="AJ160" s="17" cm="1">
        <f t="array" ref="AJ160">$H160 *
IF(ISNUMBER(SEARCH("Rapid",$L160)),7/6,1) *
IF(OR(ISNUMBER(SEARCH("Beam",$L160)),ISNUMBER(SEARCH("Firestorm",$L160))),1, IF(ISNUMBER(SEARCH("Blast",$L160)),(4+$G160+(2-$G160)*0.5)/6*2,(4+$G160)/6)) *
_xlfn.IFS(AJ$24-$I160 &lt;=1, 5/6, AJ$24-$I160 &lt;=5, (7-(AJ$24-$I160))/6, AND(AJ$24-$I160 =6,NOT(_xlfn.IFNA(ISNUMBER(SEARCH("Rending",$L160)),FALSE))), (7-(AJ$24-$I160))/6, AND(AJ$24-$I160 &gt;=7,NOT(_xlfn.IFNA(ISNUMBER(SEARCH("Rending",$L160)),FALSE))), 0, AJ$24-$I160 =7, (7-(AJ$24-1-$I160))/6, AJ$24-$I160 =8, (7-(AJ$24-2-$I160))/6*2/3, AJ$24-$I160 =9, (7-(AJ$24-3-$I160))/6*1/3, TRUE, 0) *
IF(ISNUMBER(SEARCH("Ordinance",$L160)),7/6,1) *
IF(OR(ISNUMBER(SEARCH("Melee",$L160)),ISNUMBER(SEARCH("Bypass",$L160))),1.5,1)</f>
        <v>0</v>
      </c>
      <c r="AK160" s="17" cm="1">
        <f t="array" ref="AK160">$H160 *
IF(ISNUMBER(SEARCH("Rapid",$L160)),7/6,1) *
IF(OR(ISNUMBER(SEARCH("Beam",$L160)),ISNUMBER(SEARCH("Firestorm",$L160))),1, IF(ISNUMBER(SEARCH("Blast",$L160)),(4+$G160+(2-$G160)*0.5)/6*2,(4+$G160)/6)) *
_xlfn.IFS(AK$24-$I160 &lt;=1, 5/6, AK$24-$I160 &lt;=5, (7-(AK$24-$I160))/6, AND(AK$24-$I160 =6,NOT(_xlfn.IFNA(ISNUMBER(SEARCH("Rending",$L160)),FALSE))), (7-(AK$24-$I160))/6, AND(AK$24-$I160 &gt;=7,NOT(_xlfn.IFNA(ISNUMBER(SEARCH("Rending",$L160)),FALSE))), 0, AK$24-$I160 =7, (7-(AK$24-1-$I160))/6, AK$24-$I160 =8, (7-(AK$24-2-$I160))/6*2/3, AK$24-$I160 =9, (7-(AK$24-3-$I160))/6*1/3, TRUE, 0) *
IF(ISNUMBER(SEARCH("Ordinance",$L160)),7/6,1) *
IF(OR(ISNUMBER(SEARCH("Melee",$L160)),ISNUMBER(SEARCH("Bypass",$L160))),1.5,1)</f>
        <v>0</v>
      </c>
      <c r="AL160" s="17" cm="1">
        <f t="array" ref="AL160">$H160 *
IF(ISNUMBER(SEARCH("Rapid",$L160)),7/6,1) *
IF(OR(ISNUMBER(SEARCH("Beam",$L160)),ISNUMBER(SEARCH("Firestorm",$L160))),1, IF(ISNUMBER(SEARCH("Blast",$L160)),(4+$G160+(2-$G160)*0.5)/6*2,(4+$G160)/6)) *
_xlfn.IFS(AL$24-$I160 &lt;=1, 5/6, AL$24-$I160 &lt;=5, (7-(AL$24-$I160))/6, AND(AL$24-$I160 =6,NOT(_xlfn.IFNA(ISNUMBER(SEARCH("Rending",$L160)),FALSE))), (7-(AL$24-$I160))/6, AND(AL$24-$I160 &gt;=7,NOT(_xlfn.IFNA(ISNUMBER(SEARCH("Rending",$L160)),FALSE))), 0, AL$24-$I160 =7, (7-(AL$24-1-$I160))/6, AL$24-$I160 =8, (7-(AL$24-2-$I160))/6*2/3, AL$24-$I160 =9, (7-(AL$24-3-$I160))/6*1/3, TRUE, 0) *
IF(ISNUMBER(SEARCH("Ordinance",$L160)),7/6,1) *
IF(OR(ISNUMBER(SEARCH("Melee",$L160)),ISNUMBER(SEARCH("Bypass",$L160))),1.5,1)</f>
        <v>0</v>
      </c>
      <c r="AM160" s="17" cm="1">
        <f t="array" ref="AM160">$H160 *
IF(ISNUMBER(SEARCH("Rapid",$L160)),7/6,1) *
IF(OR(ISNUMBER(SEARCH("Beam",$L160)),ISNUMBER(SEARCH("Firestorm",$L160))),1, IF(ISNUMBER(SEARCH("Blast",$L160)),(4+$G160+(2-$G160)*0.5)/6*2,(4+$G160)/6)) *
_xlfn.IFS(AM$24-$I160 &lt;=1, 5/6, AM$24-$I160 &lt;=5, (7-(AM$24-$I160))/6, AND(AM$24-$I160 =6,NOT(_xlfn.IFNA(ISNUMBER(SEARCH("Rending",$L160)),FALSE))), (7-(AM$24-$I160))/6, AND(AM$24-$I160 &gt;=7,NOT(_xlfn.IFNA(ISNUMBER(SEARCH("Rending",$L160)),FALSE))), 0, AM$24-$I160 =7, (7-(AM$24-1-$I160))/6, AM$24-$I160 =8, (7-(AM$24-2-$I160))/6*2/3, AM$24-$I160 =9, (7-(AM$24-3-$I160))/6*1/3, TRUE, 0) *
IF(ISNUMBER(SEARCH("Ordinance",$L160)),7/6,1) *
IF(OR(ISNUMBER(SEARCH("Melee",$L160)),ISNUMBER(SEARCH("Bypass",$L160))),1.5,1)</f>
        <v>0</v>
      </c>
      <c r="AN160" s="17" cm="1">
        <f t="array" ref="AN160">$H160 *
IF(ISNUMBER(SEARCH("Rapid",$L160)),7/6,1) *
IF(OR(ISNUMBER(SEARCH("Beam",$L160)),ISNUMBER(SEARCH("Firestorm",$L160))),1, IF(ISNUMBER(SEARCH("Blast",$L160)),(4+$G160+(2-$G160)*0.5)/6*2,(4+$G160)/6)) *
_xlfn.IFS(AN$24-$I160 &lt;=1, 5/6, AN$24-$I160 &lt;=5, (7-(AN$24-$I160))/6, AND(AN$24-$I160 =6,NOT(_xlfn.IFNA(ISNUMBER(SEARCH("Rending",$L160)),FALSE))), (7-(AN$24-$I160))/6, AND(AN$24-$I160 &gt;=7,NOT(_xlfn.IFNA(ISNUMBER(SEARCH("Rending",$L160)),FALSE))), 0, AN$24-$I160 =7, (7-(AN$24-1-$I160))/6, AN$24-$I160 =8, (7-(AN$24-2-$I160))/6*2/3, AN$24-$I160 =9, (7-(AN$24-3-$I160))/6*1/3, TRUE, 0) *
IF(ISNUMBER(SEARCH("Ordinance",$L160)),7/6,1) *
IF(OR(ISNUMBER(SEARCH("Melee",$L160)),ISNUMBER(SEARCH("Bypass",$L160))),1.5,1)</f>
        <v>0</v>
      </c>
      <c r="AO160" s="17" cm="1">
        <f t="array" ref="AO160">$H160 *
IF(ISNUMBER(SEARCH("Rapid",$L160)),7/6,1) *
IF(OR(ISNUMBER(SEARCH("Beam",$L160)),ISNUMBER(SEARCH("Firestorm",$L160))),1, IF(ISNUMBER(SEARCH("Blast",$L160)),(4+$G160+(2-$G160)*0.5)/6*2,(4+$G160)/6)) *
_xlfn.IFS(AO$24-$I160 &lt;=1, 5/6, AO$24-$I160 &lt;=5, (7-(AO$24-$I160))/6, AND(AO$24-$I160 =6,NOT(_xlfn.IFNA(ISNUMBER(SEARCH("Rending",$L160)),FALSE))), (7-(AO$24-$I160))/6, AND(AO$24-$I160 &gt;=7,NOT(_xlfn.IFNA(ISNUMBER(SEARCH("Rending",$L160)),FALSE))), 0, AO$24-$I160 =7, (7-(AO$24-1-$I160))/6, AO$24-$I160 =8, (7-(AO$24-2-$I160))/6*2/3, AO$24-$I160 =9, (7-(AO$24-3-$I160))/6*1/3, TRUE, 0) *
IF(ISNUMBER(SEARCH("Ordinance",$L160)),7/6,1) *
IF(OR(ISNUMBER(SEARCH("Melee",$L160)),ISNUMBER(SEARCH("Bypass",$L160))),1.5,1)</f>
        <v>0</v>
      </c>
      <c r="AP160" s="17" cm="1">
        <f t="array" ref="AP160">$H160 *
IF(ISNUMBER(SEARCH("Rapid",$L160)),7/6,1) *
IF(OR(ISNUMBER(SEARCH("Beam",$L160)),ISNUMBER(SEARCH("Firestorm",$L160))),1, IF(ISNUMBER(SEARCH("Blast",$L160)),(4+$G160+(2-$G160)*0.5)/6*2,(4+$G160)/6)) *
_xlfn.IFS(AP$24-$I160 &lt;=1, 5/6, AP$24-$I160 &lt;=5, (7-(AP$24-$I160))/6, AND(AP$24-$I160 =6,NOT(_xlfn.IFNA(ISNUMBER(SEARCH("Rending",$L160)),FALSE))), (7-(AP$24-$I160))/6, AND(AP$24-$I160 &gt;=7,NOT(_xlfn.IFNA(ISNUMBER(SEARCH("Rending",$L160)),FALSE))), 0, AP$24-$I160 =7, (7-(AP$24-1-$I160))/6, AP$24-$I160 =8, (7-(AP$24-2-$I160))/6*2/3, AP$24-$I160 =9, (7-(AP$24-3-$I160))/6*1/3, TRUE, 0) *
IF(ISNUMBER(SEARCH("Ordinance",$L160)),7/6,1) *
IF(OR(ISNUMBER(SEARCH("Melee",$L160)),ISNUMBER(SEARCH("Bypass",$L160))),1.5,1)</f>
        <v>0</v>
      </c>
      <c r="AQ160" s="17" cm="1">
        <f t="array" ref="AQ160">$H160 *
IF(ISNUMBER(SEARCH("Rapid",$L160)),7/6,1) *
IF(OR(ISNUMBER(SEARCH("Beam",$L160)),ISNUMBER(SEARCH("Firestorm",$L160))),1, IF(ISNUMBER(SEARCH("Blast",$L160)),(4+$G160+(2-$G160)*0.5)/6*2,(4+$G160)/6)) *
_xlfn.IFS(AQ$24-$I160 &lt;=1, 5/6, AQ$24-$I160 &lt;=5, (7-(AQ$24-$I160))/6, AND(AQ$24-$I160 =6,NOT(_xlfn.IFNA(ISNUMBER(SEARCH("Rending",$L160)),FALSE))), (7-(AQ$24-$I160))/6, AND(AQ$24-$I160 &gt;=7,NOT(_xlfn.IFNA(ISNUMBER(SEARCH("Rending",$L160)),FALSE))), 0, AQ$24-$I160 =7, (7-(AQ$24-1-$I160))/6, AQ$24-$I160 =8, (7-(AQ$24-2-$I160))/6*2/3, AQ$24-$I160 =9, (7-(AQ$24-3-$I160))/6*1/3, TRUE, 0) *
IF(ISNUMBER(SEARCH("Ordinance",$L160)),7/6,1) *
IF(OR(ISNUMBER(SEARCH("Melee",$L160)),ISNUMBER(SEARCH("Bypass",$L160))),1.5,1)</f>
        <v>0</v>
      </c>
    </row>
    <row r="161" spans="1:48" x14ac:dyDescent="0.3">
      <c r="A161" s="30" t="s">
        <v>472</v>
      </c>
      <c r="B161" s="31">
        <v>6</v>
      </c>
      <c r="C161" s="31">
        <v>16</v>
      </c>
      <c r="D161" s="31">
        <v>1</v>
      </c>
      <c r="E161" s="31">
        <v>1</v>
      </c>
      <c r="F161" s="10"/>
      <c r="G161" s="10"/>
      <c r="H161" s="31">
        <v>1</v>
      </c>
      <c r="I161" s="31">
        <v>4</v>
      </c>
      <c r="J161" s="31"/>
      <c r="K161" s="31"/>
      <c r="L161" s="31" t="s">
        <v>482</v>
      </c>
      <c r="M161" s="3" t="s">
        <v>225</v>
      </c>
      <c r="V161" s="16">
        <f t="shared" si="33"/>
        <v>0.22222222222222221</v>
      </c>
      <c r="W161" s="16">
        <f t="shared" si="34"/>
        <v>0.33333333333333331</v>
      </c>
      <c r="X161" s="17" cm="1">
        <f t="array" ref="X161">$H161 *
IF(ISNUMBER(SEARCH("Rapid",$L161)),7/6,1) *
IF(OR(ISNUMBER(SEARCH("Beam",$L161)),ISNUMBER(SEARCH("Firestorm",$L161))),1, IF(ISNUMBER(SEARCH("Blast",$L161)),(4+$F161+(2-$F161)*0.5)/6*2,(4+$F161)/6)) *
IF(ISNUMBER(SEARCH("Fusion",$L161)), _xlfn.IFS(X$24-$I161 &lt;=1, 9/10, X$24-$I161 &lt;=10,(11-(X$24-$I161))/10, X$24-$I161 &gt;=11, 0),
_xlfn.IFS(X$24-$I161 &lt;=1, 5/6, X$24-$I161 &lt;=5, (7-(X$24-$I161))/6, AND(X$24-$I161 =6,NOT(_xlfn.IFNA(ISNUMBER(SEARCH("Rending",$L161)),FALSE))), (7-(X$24-$I161))/6, AND(X$24-$I161 &gt;=7,NOT(_xlfn.IFNA(ISNUMBER(SEARCH("Rending",$L161)),FALSE))), 0, X$24-$I161 =7, (7-(X$24-1-$I161))/6, X$24-$I161 =8, (7-(X$24-2-$I161))/6*2/3, X$24-$I161 =9, (7-(X$24-3-$I161))/6*1/3, TRUE, 0)) *
IF(ISNUMBER(SEARCH("Ordinance",$L161)),7/6,1) *
IF(OR(ISNUMBER(SEARCH("Melee",$L161)),ISNUMBER(SEARCH("Bypass",$L161))),1.5,1)</f>
        <v>0.22222222222222221</v>
      </c>
      <c r="Y161" s="17" cm="1">
        <f t="array" ref="Y161">$H161 *
IF(ISNUMBER(SEARCH("Rapid",$L161)),7/6,1) *
IF(OR(ISNUMBER(SEARCH("Beam",$L161)),ISNUMBER(SEARCH("Firestorm",$L161))),1, IF(ISNUMBER(SEARCH("Blast",$L161)),(4+$F161+(2-$F161)*0.5)/6*2,(4+$F161)/6)) *
IF(ISNUMBER(SEARCH("Fusion",$L161)), _xlfn.IFS(Y$24-$I161 &lt;=1, 9/10, Y$24-$I161 &lt;=10,(11-(Y$24-$I161))/10, Y$24-$I161 &gt;=11, 0),
_xlfn.IFS(Y$24-$I161 &lt;=1, 5/6, Y$24-$I161 &lt;=5, (7-(Y$24-$I161))/6, AND(Y$24-$I161 =6,NOT(_xlfn.IFNA(ISNUMBER(SEARCH("Rending",$L161)),FALSE))), (7-(Y$24-$I161))/6, AND(Y$24-$I161 &gt;=7,NOT(_xlfn.IFNA(ISNUMBER(SEARCH("Rending",$L161)),FALSE))), 0, Y$24-$I161 =7, (7-(Y$24-1-$I161))/6, Y$24-$I161 =8, (7-(Y$24-2-$I161))/6*2/3, Y$24-$I161 =9, (7-(Y$24-3-$I161))/6*1/3, TRUE, 0)) *
IF(ISNUMBER(SEARCH("Ordinance",$L161)),7/6,1) *
IF(OR(ISNUMBER(SEARCH("Melee",$L161)),ISNUMBER(SEARCH("Bypass",$L161))),1.5,1)</f>
        <v>0.1111111111111111</v>
      </c>
      <c r="Z161" s="17" cm="1">
        <f t="array" ref="Z161">$H161 *
IF(ISNUMBER(SEARCH("Rapid",$L161)),7/6,1) *
IF(OR(ISNUMBER(SEARCH("Beam",$L161)),ISNUMBER(SEARCH("Firestorm",$L161))),1, IF(ISNUMBER(SEARCH("Blast",$L161)),(4+$F161+(2-$F161)*0.5)/6*2,(4+$F161)/6)) *
IF(ISNUMBER(SEARCH("Fusion",$L161)), _xlfn.IFS(Z$24-$I161 &lt;=1, 9/10, Z$24-$I161 &lt;=10,(11-(Z$24-$I161))/10, Z$24-$I161 &gt;=11, 0),
_xlfn.IFS(Z$24-$I161 &lt;=1, 5/6, Z$24-$I161 &lt;=5, (7-(Z$24-$I161))/6, AND(Z$24-$I161 =6,NOT(_xlfn.IFNA(ISNUMBER(SEARCH("Rending",$L161)),FALSE))), (7-(Z$24-$I161))/6, AND(Z$24-$I161 &gt;=7,NOT(_xlfn.IFNA(ISNUMBER(SEARCH("Rending",$L161)),FALSE))), 0, Z$24-$I161 =7, (7-(Z$24-1-$I161))/6, Z$24-$I161 =8, (7-(Z$24-2-$I161))/6*2/3, Z$24-$I161 =9, (7-(Z$24-3-$I161))/6*1/3, TRUE, 0)) *
IF(ISNUMBER(SEARCH("Ordinance",$L161)),7/6,1) *
IF(OR(ISNUMBER(SEARCH("Melee",$L161)),ISNUMBER(SEARCH("Bypass",$L161))),1.5,1)</f>
        <v>0</v>
      </c>
      <c r="AA161" s="17" cm="1">
        <f t="array" ref="AA161">$H161 *
IF(ISNUMBER(SEARCH("Rapid",$L161)),7/6,1) *
IF(OR(ISNUMBER(SEARCH("Beam",$L161)),ISNUMBER(SEARCH("Firestorm",$L161))),1, IF(ISNUMBER(SEARCH("Blast",$L161)),(4+$F161+(2-$F161)*0.5)/6*2,(4+$F161)/6)) *
IF(ISNUMBER(SEARCH("Fusion",$L161)), _xlfn.IFS(AA$24-$I161 &lt;=1, 9/10, AA$24-$I161 &lt;=10,(11-(AA$24-$I161))/10, AA$24-$I161 &gt;=11, 0),
_xlfn.IFS(AA$24-$I161 &lt;=1, 5/6, AA$24-$I161 &lt;=5, (7-(AA$24-$I161))/6, AND(AA$24-$I161 =6,NOT(_xlfn.IFNA(ISNUMBER(SEARCH("Rending",$L161)),FALSE))), (7-(AA$24-$I161))/6, AND(AA$24-$I161 &gt;=7,NOT(_xlfn.IFNA(ISNUMBER(SEARCH("Rending",$L161)),FALSE))), 0, AA$24-$I161 =7, (7-(AA$24-1-$I161))/6, AA$24-$I161 =8, (7-(AA$24-2-$I161))/6*2/3, AA$24-$I161 =9, (7-(AA$24-3-$I161))/6*1/3, TRUE, 0)) *
IF(ISNUMBER(SEARCH("Ordinance",$L161)),7/6,1) *
IF(OR(ISNUMBER(SEARCH("Melee",$L161)),ISNUMBER(SEARCH("Bypass",$L161))),1.5,1)</f>
        <v>0</v>
      </c>
      <c r="AB161" s="17" cm="1">
        <f t="array" ref="AB161">$H161 *
IF(ISNUMBER(SEARCH("Rapid",$L161)),7/6,1) *
IF(OR(ISNUMBER(SEARCH("Beam",$L161)),ISNUMBER(SEARCH("Firestorm",$L161))),1, IF(ISNUMBER(SEARCH("Blast",$L161)),(4+$F161+(2-$F161)*0.5)/6*2,(4+$F161)/6)) *
IF(ISNUMBER(SEARCH("Fusion",$L161)), _xlfn.IFS(AB$24-$I161 &lt;=1, 9/10, AB$24-$I161 &lt;=10,(11-(AB$24-$I161))/10, AB$24-$I161 &gt;=11, 0),
_xlfn.IFS(AB$24-$I161 &lt;=1, 5/6, AB$24-$I161 &lt;=5, (7-(AB$24-$I161))/6, AND(AB$24-$I161 =6,NOT(_xlfn.IFNA(ISNUMBER(SEARCH("Rending",$L161)),FALSE))), (7-(AB$24-$I161))/6, AND(AB$24-$I161 &gt;=7,NOT(_xlfn.IFNA(ISNUMBER(SEARCH("Rending",$L161)),FALSE))), 0, AB$24-$I161 =7, (7-(AB$24-1-$I161))/6, AB$24-$I161 =8, (7-(AB$24-2-$I161))/6*2/3, AB$24-$I161 =9, (7-(AB$24-3-$I161))/6*1/3, TRUE, 0)) *
IF(ISNUMBER(SEARCH("Ordinance",$L161)),7/6,1) *
IF(OR(ISNUMBER(SEARCH("Melee",$L161)),ISNUMBER(SEARCH("Bypass",$L161))),1.5,1)</f>
        <v>0</v>
      </c>
      <c r="AC161" s="17" cm="1">
        <f t="array" ref="AC161">$H161 *
IF(ISNUMBER(SEARCH("Rapid",$L161)),7/6,1) *
IF(OR(ISNUMBER(SEARCH("Beam",$L161)),ISNUMBER(SEARCH("Firestorm",$L161))),1, IF(ISNUMBER(SEARCH("Blast",$L161)),(4+$F161+(2-$F161)*0.5)/6*2,(4+$F161)/6)) *
IF(ISNUMBER(SEARCH("Fusion",$L161)), _xlfn.IFS(AC$24-$I161 &lt;=1, 9/10, AC$24-$I161 &lt;=10,(11-(AC$24-$I161))/10, AC$24-$I161 &gt;=11, 0),
_xlfn.IFS(AC$24-$I161 &lt;=1, 5/6, AC$24-$I161 &lt;=5, (7-(AC$24-$I161))/6, AND(AC$24-$I161 =6,NOT(_xlfn.IFNA(ISNUMBER(SEARCH("Rending",$L161)),FALSE))), (7-(AC$24-$I161))/6, AND(AC$24-$I161 &gt;=7,NOT(_xlfn.IFNA(ISNUMBER(SEARCH("Rending",$L161)),FALSE))), 0, AC$24-$I161 =7, (7-(AC$24-1-$I161))/6, AC$24-$I161 =8, (7-(AC$24-2-$I161))/6*2/3, AC$24-$I161 =9, (7-(AC$24-3-$I161))/6*1/3, TRUE, 0)) *
IF(ISNUMBER(SEARCH("Ordinance",$L161)),7/6,1) *
IF(OR(ISNUMBER(SEARCH("Melee",$L161)),ISNUMBER(SEARCH("Bypass",$L161))),1.5,1)</f>
        <v>0</v>
      </c>
      <c r="AD161" s="17" cm="1">
        <f t="array" ref="AD161">$H161 *
IF(ISNUMBER(SEARCH("Rapid",$L161)),7/6,1) *
IF(OR(ISNUMBER(SEARCH("Beam",$L161)),ISNUMBER(SEARCH("Firestorm",$L161))),1, IF(ISNUMBER(SEARCH("Blast",$L161)),(4+$F161+(2-$F161)*0.5)/6*2,(4+$F161)/6)) *
IF(ISNUMBER(SEARCH("Fusion",$L161)), _xlfn.IFS(AD$24-$I161 &lt;=1, 9/10, AD$24-$I161 &lt;=10,(11-(AD$24-$I161))/10, AD$24-$I161 &gt;=11, 0),
_xlfn.IFS(AD$24-$I161 &lt;=1, 5/6, AD$24-$I161 &lt;=5, (7-(AD$24-$I161))/6, AND(AD$24-$I161 =6,NOT(_xlfn.IFNA(ISNUMBER(SEARCH("Rending",$L161)),FALSE))), (7-(AD$24-$I161))/6, AND(AD$24-$I161 &gt;=7,NOT(_xlfn.IFNA(ISNUMBER(SEARCH("Rending",$L161)),FALSE))), 0, AD$24-$I161 =7, (7-(AD$24-1-$I161))/6, AD$24-$I161 =8, (7-(AD$24-2-$I161))/6*2/3, AD$24-$I161 =9, (7-(AD$24-3-$I161))/6*1/3, TRUE, 0)) *
IF(ISNUMBER(SEARCH("Ordinance",$L161)),7/6,1) *
IF(OR(ISNUMBER(SEARCH("Melee",$L161)),ISNUMBER(SEARCH("Bypass",$L161))),1.5,1)</f>
        <v>0</v>
      </c>
      <c r="AE161" s="17" cm="1">
        <f t="array" ref="AE161">$H161 *
IF(ISNUMBER(SEARCH("Rapid",$L161)),7/6,1) *
IF(OR(ISNUMBER(SEARCH("Beam",$L161)),ISNUMBER(SEARCH("Firestorm",$L161))),1, IF(ISNUMBER(SEARCH("Blast",$L161)),(4+$F161+(2-$F161)*0.5)/6*2,(4+$F161)/6)) *
IF(ISNUMBER(SEARCH("Fusion",$L161)), _xlfn.IFS(AE$24-$I161 &lt;=1, 9/10, AE$24-$I161 &lt;=10,(11-(AE$24-$I161))/10, AE$24-$I161 &gt;=11, 0),
_xlfn.IFS(AE$24-$I161 &lt;=1, 5/6, AE$24-$I161 &lt;=5, (7-(AE$24-$I161))/6, AND(AE$24-$I161 =6,NOT(_xlfn.IFNA(ISNUMBER(SEARCH("Rending",$L161)),FALSE))), (7-(AE$24-$I161))/6, AND(AE$24-$I161 &gt;=7,NOT(_xlfn.IFNA(ISNUMBER(SEARCH("Rending",$L161)),FALSE))), 0, AE$24-$I161 =7, (7-(AE$24-1-$I161))/6, AE$24-$I161 =8, (7-(AE$24-2-$I161))/6*2/3, AE$24-$I161 =9, (7-(AE$24-3-$I161))/6*1/3, TRUE, 0)) *
IF(ISNUMBER(SEARCH("Ordinance",$L161)),7/6,1) *
IF(OR(ISNUMBER(SEARCH("Melee",$L161)),ISNUMBER(SEARCH("Bypass",$L161))),1.5,1)</f>
        <v>0</v>
      </c>
      <c r="AF161" s="17" cm="1">
        <f t="array" ref="AF161">$H161 *
IF(ISNUMBER(SEARCH("Rapid",$L161)),7/6,1) *
IF(OR(ISNUMBER(SEARCH("Beam",$L161)),ISNUMBER(SEARCH("Firestorm",$L161))),1, IF(ISNUMBER(SEARCH("Blast",$L161)),(4+$F161+(2-$F161)*0.5)/6*2,(4+$F161)/6)) *
IF(ISNUMBER(SEARCH("Fusion",$L161)), _xlfn.IFS(AF$24-$I161 &lt;=1, 9/10, AF$24-$I161 &lt;=10,(11-(AF$24-$I161))/10, AF$24-$I161 &gt;=11, 0),
_xlfn.IFS(AF$24-$I161 &lt;=1, 5/6, AF$24-$I161 &lt;=5, (7-(AF$24-$I161))/6, AND(AF$24-$I161 =6,NOT(_xlfn.IFNA(ISNUMBER(SEARCH("Rending",$L161)),FALSE))), (7-(AF$24-$I161))/6, AND(AF$24-$I161 &gt;=7,NOT(_xlfn.IFNA(ISNUMBER(SEARCH("Rending",$L161)),FALSE))), 0, AF$24-$I161 =7, (7-(AF$24-1-$I161))/6, AF$24-$I161 =8, (7-(AF$24-2-$I161))/6*2/3, AF$24-$I161 =9, (7-(AF$24-3-$I161))/6*1/3, TRUE, 0)) *
IF(ISNUMBER(SEARCH("Ordinance",$L161)),7/6,1) *
IF(OR(ISNUMBER(SEARCH("Melee",$L161)),ISNUMBER(SEARCH("Bypass",$L161))),1.5,1)</f>
        <v>0</v>
      </c>
      <c r="AG161" s="16">
        <f t="shared" si="35"/>
        <v>0.22222222222222221</v>
      </c>
      <c r="AH161" s="16">
        <f t="shared" si="36"/>
        <v>0.33333333333333331</v>
      </c>
      <c r="AI161" s="17" cm="1">
        <f t="array" ref="AI161">$H161 *
IF(ISNUMBER(SEARCH("Rapid",$L161)),7/6,1) *
IF(OR(ISNUMBER(SEARCH("Beam",$L161)),ISNUMBER(SEARCH("Firestorm",$L161))),1, IF(ISNUMBER(SEARCH("Blast",$L161)),(4+$G161+(2-$G161)*0.5)/6*2,(4+$G161)/6)) *
_xlfn.IFS(AI$24-$I161 &lt;=1, 5/6, AI$24-$I161 &lt;=5, (7-(AI$24-$I161))/6, AND(AI$24-$I161 =6,NOT(_xlfn.IFNA(ISNUMBER(SEARCH("Rending",$L161)),FALSE))), (7-(AI$24-$I161))/6, AND(AI$24-$I161 &gt;=7,NOT(_xlfn.IFNA(ISNUMBER(SEARCH("Rending",$L161)),FALSE))), 0, AI$24-$I161 =7, (7-(AI$24-1-$I161))/6, AI$24-$I161 =8, (7-(AI$24-2-$I161))/6*2/3, AI$24-$I161 =9, (7-(AI$24-3-$I161))/6*1/3, TRUE, 0) *
IF(ISNUMBER(SEARCH("Ordinance",$L161)),7/6,1) *
IF(OR(ISNUMBER(SEARCH("Melee",$L161)),ISNUMBER(SEARCH("Bypass",$L161))),1.5,1)</f>
        <v>0.22222222222222221</v>
      </c>
      <c r="AJ161" s="17" cm="1">
        <f t="array" ref="AJ161">$H161 *
IF(ISNUMBER(SEARCH("Rapid",$L161)),7/6,1) *
IF(OR(ISNUMBER(SEARCH("Beam",$L161)),ISNUMBER(SEARCH("Firestorm",$L161))),1, IF(ISNUMBER(SEARCH("Blast",$L161)),(4+$G161+(2-$G161)*0.5)/6*2,(4+$G161)/6)) *
_xlfn.IFS(AJ$24-$I161 &lt;=1, 5/6, AJ$24-$I161 &lt;=5, (7-(AJ$24-$I161))/6, AND(AJ$24-$I161 =6,NOT(_xlfn.IFNA(ISNUMBER(SEARCH("Rending",$L161)),FALSE))), (7-(AJ$24-$I161))/6, AND(AJ$24-$I161 &gt;=7,NOT(_xlfn.IFNA(ISNUMBER(SEARCH("Rending",$L161)),FALSE))), 0, AJ$24-$I161 =7, (7-(AJ$24-1-$I161))/6, AJ$24-$I161 =8, (7-(AJ$24-2-$I161))/6*2/3, AJ$24-$I161 =9, (7-(AJ$24-3-$I161))/6*1/3, TRUE, 0) *
IF(ISNUMBER(SEARCH("Ordinance",$L161)),7/6,1) *
IF(OR(ISNUMBER(SEARCH("Melee",$L161)),ISNUMBER(SEARCH("Bypass",$L161))),1.5,1)</f>
        <v>0.1111111111111111</v>
      </c>
      <c r="AK161" s="17" cm="1">
        <f t="array" ref="AK161">$H161 *
IF(ISNUMBER(SEARCH("Rapid",$L161)),7/6,1) *
IF(OR(ISNUMBER(SEARCH("Beam",$L161)),ISNUMBER(SEARCH("Firestorm",$L161))),1, IF(ISNUMBER(SEARCH("Blast",$L161)),(4+$G161+(2-$G161)*0.5)/6*2,(4+$G161)/6)) *
_xlfn.IFS(AK$24-$I161 &lt;=1, 5/6, AK$24-$I161 &lt;=5, (7-(AK$24-$I161))/6, AND(AK$24-$I161 =6,NOT(_xlfn.IFNA(ISNUMBER(SEARCH("Rending",$L161)),FALSE))), (7-(AK$24-$I161))/6, AND(AK$24-$I161 &gt;=7,NOT(_xlfn.IFNA(ISNUMBER(SEARCH("Rending",$L161)),FALSE))), 0, AK$24-$I161 =7, (7-(AK$24-1-$I161))/6, AK$24-$I161 =8, (7-(AK$24-2-$I161))/6*2/3, AK$24-$I161 =9, (7-(AK$24-3-$I161))/6*1/3, TRUE, 0) *
IF(ISNUMBER(SEARCH("Ordinance",$L161)),7/6,1) *
IF(OR(ISNUMBER(SEARCH("Melee",$L161)),ISNUMBER(SEARCH("Bypass",$L161))),1.5,1)</f>
        <v>0</v>
      </c>
      <c r="AL161" s="17" cm="1">
        <f t="array" ref="AL161">$H161 *
IF(ISNUMBER(SEARCH("Rapid",$L161)),7/6,1) *
IF(OR(ISNUMBER(SEARCH("Beam",$L161)),ISNUMBER(SEARCH("Firestorm",$L161))),1, IF(ISNUMBER(SEARCH("Blast",$L161)),(4+$G161+(2-$G161)*0.5)/6*2,(4+$G161)/6)) *
_xlfn.IFS(AL$24-$I161 &lt;=1, 5/6, AL$24-$I161 &lt;=5, (7-(AL$24-$I161))/6, AND(AL$24-$I161 =6,NOT(_xlfn.IFNA(ISNUMBER(SEARCH("Rending",$L161)),FALSE))), (7-(AL$24-$I161))/6, AND(AL$24-$I161 &gt;=7,NOT(_xlfn.IFNA(ISNUMBER(SEARCH("Rending",$L161)),FALSE))), 0, AL$24-$I161 =7, (7-(AL$24-1-$I161))/6, AL$24-$I161 =8, (7-(AL$24-2-$I161))/6*2/3, AL$24-$I161 =9, (7-(AL$24-3-$I161))/6*1/3, TRUE, 0) *
IF(ISNUMBER(SEARCH("Ordinance",$L161)),7/6,1) *
IF(OR(ISNUMBER(SEARCH("Melee",$L161)),ISNUMBER(SEARCH("Bypass",$L161))),1.5,1)</f>
        <v>0</v>
      </c>
      <c r="AM161" s="17" cm="1">
        <f t="array" ref="AM161">$H161 *
IF(ISNUMBER(SEARCH("Rapid",$L161)),7/6,1) *
IF(OR(ISNUMBER(SEARCH("Beam",$L161)),ISNUMBER(SEARCH("Firestorm",$L161))),1, IF(ISNUMBER(SEARCH("Blast",$L161)),(4+$G161+(2-$G161)*0.5)/6*2,(4+$G161)/6)) *
_xlfn.IFS(AM$24-$I161 &lt;=1, 5/6, AM$24-$I161 &lt;=5, (7-(AM$24-$I161))/6, AND(AM$24-$I161 =6,NOT(_xlfn.IFNA(ISNUMBER(SEARCH("Rending",$L161)),FALSE))), (7-(AM$24-$I161))/6, AND(AM$24-$I161 &gt;=7,NOT(_xlfn.IFNA(ISNUMBER(SEARCH("Rending",$L161)),FALSE))), 0, AM$24-$I161 =7, (7-(AM$24-1-$I161))/6, AM$24-$I161 =8, (7-(AM$24-2-$I161))/6*2/3, AM$24-$I161 =9, (7-(AM$24-3-$I161))/6*1/3, TRUE, 0) *
IF(ISNUMBER(SEARCH("Ordinance",$L161)),7/6,1) *
IF(OR(ISNUMBER(SEARCH("Melee",$L161)),ISNUMBER(SEARCH("Bypass",$L161))),1.5,1)</f>
        <v>0</v>
      </c>
      <c r="AN161" s="17" cm="1">
        <f t="array" ref="AN161">$H161 *
IF(ISNUMBER(SEARCH("Rapid",$L161)),7/6,1) *
IF(OR(ISNUMBER(SEARCH("Beam",$L161)),ISNUMBER(SEARCH("Firestorm",$L161))),1, IF(ISNUMBER(SEARCH("Blast",$L161)),(4+$G161+(2-$G161)*0.5)/6*2,(4+$G161)/6)) *
_xlfn.IFS(AN$24-$I161 &lt;=1, 5/6, AN$24-$I161 &lt;=5, (7-(AN$24-$I161))/6, AND(AN$24-$I161 =6,NOT(_xlfn.IFNA(ISNUMBER(SEARCH("Rending",$L161)),FALSE))), (7-(AN$24-$I161))/6, AND(AN$24-$I161 &gt;=7,NOT(_xlfn.IFNA(ISNUMBER(SEARCH("Rending",$L161)),FALSE))), 0, AN$24-$I161 =7, (7-(AN$24-1-$I161))/6, AN$24-$I161 =8, (7-(AN$24-2-$I161))/6*2/3, AN$24-$I161 =9, (7-(AN$24-3-$I161))/6*1/3, TRUE, 0) *
IF(ISNUMBER(SEARCH("Ordinance",$L161)),7/6,1) *
IF(OR(ISNUMBER(SEARCH("Melee",$L161)),ISNUMBER(SEARCH("Bypass",$L161))),1.5,1)</f>
        <v>0</v>
      </c>
      <c r="AO161" s="17" cm="1">
        <f t="array" ref="AO161">$H161 *
IF(ISNUMBER(SEARCH("Rapid",$L161)),7/6,1) *
IF(OR(ISNUMBER(SEARCH("Beam",$L161)),ISNUMBER(SEARCH("Firestorm",$L161))),1, IF(ISNUMBER(SEARCH("Blast",$L161)),(4+$G161+(2-$G161)*0.5)/6*2,(4+$G161)/6)) *
_xlfn.IFS(AO$24-$I161 &lt;=1, 5/6, AO$24-$I161 &lt;=5, (7-(AO$24-$I161))/6, AND(AO$24-$I161 =6,NOT(_xlfn.IFNA(ISNUMBER(SEARCH("Rending",$L161)),FALSE))), (7-(AO$24-$I161))/6, AND(AO$24-$I161 &gt;=7,NOT(_xlfn.IFNA(ISNUMBER(SEARCH("Rending",$L161)),FALSE))), 0, AO$24-$I161 =7, (7-(AO$24-1-$I161))/6, AO$24-$I161 =8, (7-(AO$24-2-$I161))/6*2/3, AO$24-$I161 =9, (7-(AO$24-3-$I161))/6*1/3, TRUE, 0) *
IF(ISNUMBER(SEARCH("Ordinance",$L161)),7/6,1) *
IF(OR(ISNUMBER(SEARCH("Melee",$L161)),ISNUMBER(SEARCH("Bypass",$L161))),1.5,1)</f>
        <v>0</v>
      </c>
      <c r="AP161" s="17" cm="1">
        <f t="array" ref="AP161">$H161 *
IF(ISNUMBER(SEARCH("Rapid",$L161)),7/6,1) *
IF(OR(ISNUMBER(SEARCH("Beam",$L161)),ISNUMBER(SEARCH("Firestorm",$L161))),1, IF(ISNUMBER(SEARCH("Blast",$L161)),(4+$G161+(2-$G161)*0.5)/6*2,(4+$G161)/6)) *
_xlfn.IFS(AP$24-$I161 &lt;=1, 5/6, AP$24-$I161 &lt;=5, (7-(AP$24-$I161))/6, AND(AP$24-$I161 =6,NOT(_xlfn.IFNA(ISNUMBER(SEARCH("Rending",$L161)),FALSE))), (7-(AP$24-$I161))/6, AND(AP$24-$I161 &gt;=7,NOT(_xlfn.IFNA(ISNUMBER(SEARCH("Rending",$L161)),FALSE))), 0, AP$24-$I161 =7, (7-(AP$24-1-$I161))/6, AP$24-$I161 =8, (7-(AP$24-2-$I161))/6*2/3, AP$24-$I161 =9, (7-(AP$24-3-$I161))/6*1/3, TRUE, 0) *
IF(ISNUMBER(SEARCH("Ordinance",$L161)),7/6,1) *
IF(OR(ISNUMBER(SEARCH("Melee",$L161)),ISNUMBER(SEARCH("Bypass",$L161))),1.5,1)</f>
        <v>0</v>
      </c>
      <c r="AQ161" s="17" cm="1">
        <f t="array" ref="AQ161">$H161 *
IF(ISNUMBER(SEARCH("Rapid",$L161)),7/6,1) *
IF(OR(ISNUMBER(SEARCH("Beam",$L161)),ISNUMBER(SEARCH("Firestorm",$L161))),1, IF(ISNUMBER(SEARCH("Blast",$L161)),(4+$G161+(2-$G161)*0.5)/6*2,(4+$G161)/6)) *
_xlfn.IFS(AQ$24-$I161 &lt;=1, 5/6, AQ$24-$I161 &lt;=5, (7-(AQ$24-$I161))/6, AND(AQ$24-$I161 =6,NOT(_xlfn.IFNA(ISNUMBER(SEARCH("Rending",$L161)),FALSE))), (7-(AQ$24-$I161))/6, AND(AQ$24-$I161 &gt;=7,NOT(_xlfn.IFNA(ISNUMBER(SEARCH("Rending",$L161)),FALSE))), 0, AQ$24-$I161 =7, (7-(AQ$24-1-$I161))/6, AQ$24-$I161 =8, (7-(AQ$24-2-$I161))/6*2/3, AQ$24-$I161 =9, (7-(AQ$24-3-$I161))/6*1/3, TRUE, 0) *
IF(ISNUMBER(SEARCH("Ordinance",$L161)),7/6,1) *
IF(OR(ISNUMBER(SEARCH("Melee",$L161)),ISNUMBER(SEARCH("Bypass",$L161))),1.5,1)</f>
        <v>0</v>
      </c>
      <c r="AS161" s="16">
        <f t="shared" ref="AS161:AS181" si="41">IF($E161=1,AG161*3,IF($E161=2,2*AG161,1.1*AG161))/3</f>
        <v>0.22222222222222221</v>
      </c>
      <c r="AT161" s="16">
        <f t="shared" ref="AT161:AT181" si="42">IF($E161=1,AH161*3,IF($E161=2,2*AH161,1.1*AH161))/3</f>
        <v>0.33333333333333331</v>
      </c>
      <c r="AU161" s="16">
        <f t="shared" ref="AU161:AU181" si="43">IF(D161+E161=3,
 IF(E161=3, 2.5*AI161,
  IF(E161=2, 1.8*AI161+0.7*X161,
   IF(E161=1, 0.95*AI161+1.55*X161,
    2.5*X161))),
 IF(D161+E161=2,
  IF(E161=2, 1.55*AI161,
   IF(E161 =1, 0.85*AI161+0.7*X161,
    1.55*X161)),
  IF(E161=1, 0.95*AI161,
   0.7*X161))
)/3</f>
        <v>0.11481481481481481</v>
      </c>
      <c r="AV161" s="2">
        <v>10</v>
      </c>
    </row>
    <row r="162" spans="1:48" x14ac:dyDescent="0.3">
      <c r="A162" t="s">
        <v>473</v>
      </c>
      <c r="B162" s="3">
        <v>2</v>
      </c>
      <c r="D162" s="3">
        <v>1</v>
      </c>
      <c r="F162" s="10">
        <v>1</v>
      </c>
      <c r="G162" s="10"/>
      <c r="H162" s="3">
        <v>1</v>
      </c>
      <c r="I162" s="3">
        <v>6</v>
      </c>
      <c r="L162" s="3" t="s">
        <v>415</v>
      </c>
      <c r="M162" s="3" t="s">
        <v>225</v>
      </c>
      <c r="V162" s="16">
        <f t="shared" si="33"/>
        <v>0</v>
      </c>
      <c r="W162" s="16">
        <f t="shared" si="34"/>
        <v>0</v>
      </c>
      <c r="X162" s="17" cm="1">
        <f t="array" ref="X162">$H162 *
IF(ISNUMBER(SEARCH("Rapid",$L162)),7/6,1) *
IF(OR(ISNUMBER(SEARCH("Beam",$L162)),ISNUMBER(SEARCH("Firestorm",$L162))),1, IF(ISNUMBER(SEARCH("Blast",$L162)),(4+$F162+(2-$F162)*0.5)/6*2,(4+$F162)/6)) *
IF(ISNUMBER(SEARCH("Fusion",$L162)), _xlfn.IFS(X$24-$I162 &lt;=1, 9/10, X$24-$I162 &lt;=10,(11-(X$24-$I162))/10, X$24-$I162 &gt;=11, 0),
_xlfn.IFS(X$24-$I162 &lt;=1, 5/6, X$24-$I162 &lt;=5, (7-(X$24-$I162))/6, AND(X$24-$I162 =6,NOT(_xlfn.IFNA(ISNUMBER(SEARCH("Rending",$L162)),FALSE))), (7-(X$24-$I162))/6, AND(X$24-$I162 &gt;=7,NOT(_xlfn.IFNA(ISNUMBER(SEARCH("Rending",$L162)),FALSE))), 0, X$24-$I162 =7, (7-(X$24-1-$I162))/6, X$24-$I162 =8, (7-(X$24-2-$I162))/6*2/3, X$24-$I162 =9, (7-(X$24-3-$I162))/6*1/3, TRUE, 0)) *
IF(ISNUMBER(SEARCH("Ordinance",$L162)),7/6,1) *
IF(OR(ISNUMBER(SEARCH("Melee",$L162)),ISNUMBER(SEARCH("Bypass",$L162))),1.5,1)</f>
        <v>0.83333333333333337</v>
      </c>
      <c r="Y162" s="17" cm="1">
        <f t="array" ref="Y162">$H162 *
IF(ISNUMBER(SEARCH("Rapid",$L162)),7/6,1) *
IF(OR(ISNUMBER(SEARCH("Beam",$L162)),ISNUMBER(SEARCH("Firestorm",$L162))),1, IF(ISNUMBER(SEARCH("Blast",$L162)),(4+$F162+(2-$F162)*0.5)/6*2,(4+$F162)/6)) *
IF(ISNUMBER(SEARCH("Fusion",$L162)), _xlfn.IFS(Y$24-$I162 &lt;=1, 9/10, Y$24-$I162 &lt;=10,(11-(Y$24-$I162))/10, Y$24-$I162 &gt;=11, 0),
_xlfn.IFS(Y$24-$I162 &lt;=1, 5/6, Y$24-$I162 &lt;=5, (7-(Y$24-$I162))/6, AND(Y$24-$I162 =6,NOT(_xlfn.IFNA(ISNUMBER(SEARCH("Rending",$L162)),FALSE))), (7-(Y$24-$I162))/6, AND(Y$24-$I162 &gt;=7,NOT(_xlfn.IFNA(ISNUMBER(SEARCH("Rending",$L162)),FALSE))), 0, Y$24-$I162 =7, (7-(Y$24-1-$I162))/6, Y$24-$I162 =8, (7-(Y$24-2-$I162))/6*2/3, Y$24-$I162 =9, (7-(Y$24-3-$I162))/6*1/3, TRUE, 0)) *
IF(ISNUMBER(SEARCH("Ordinance",$L162)),7/6,1) *
IF(OR(ISNUMBER(SEARCH("Melee",$L162)),ISNUMBER(SEARCH("Bypass",$L162))),1.5,1)</f>
        <v>0.625</v>
      </c>
      <c r="Z162" s="17" cm="1">
        <f t="array" ref="Z162">$H162 *
IF(ISNUMBER(SEARCH("Rapid",$L162)),7/6,1) *
IF(OR(ISNUMBER(SEARCH("Beam",$L162)),ISNUMBER(SEARCH("Firestorm",$L162))),1, IF(ISNUMBER(SEARCH("Blast",$L162)),(4+$F162+(2-$F162)*0.5)/6*2,(4+$F162)/6)) *
IF(ISNUMBER(SEARCH("Fusion",$L162)), _xlfn.IFS(Z$24-$I162 &lt;=1, 9/10, Z$24-$I162 &lt;=10,(11-(Z$24-$I162))/10, Z$24-$I162 &gt;=11, 0),
_xlfn.IFS(Z$24-$I162 &lt;=1, 5/6, Z$24-$I162 &lt;=5, (7-(Z$24-$I162))/6, AND(Z$24-$I162 =6,NOT(_xlfn.IFNA(ISNUMBER(SEARCH("Rending",$L162)),FALSE))), (7-(Z$24-$I162))/6, AND(Z$24-$I162 &gt;=7,NOT(_xlfn.IFNA(ISNUMBER(SEARCH("Rending",$L162)),FALSE))), 0, Z$24-$I162 =7, (7-(Z$24-1-$I162))/6, Z$24-$I162 =8, (7-(Z$24-2-$I162))/6*2/3, Z$24-$I162 =9, (7-(Z$24-3-$I162))/6*1/3, TRUE, 0)) *
IF(ISNUMBER(SEARCH("Ordinance",$L162)),7/6,1) *
IF(OR(ISNUMBER(SEARCH("Melee",$L162)),ISNUMBER(SEARCH("Bypass",$L162))),1.5,1)</f>
        <v>0.41666666666666669</v>
      </c>
      <c r="AA162" s="17" cm="1">
        <f t="array" ref="AA162">$H162 *
IF(ISNUMBER(SEARCH("Rapid",$L162)),7/6,1) *
IF(OR(ISNUMBER(SEARCH("Beam",$L162)),ISNUMBER(SEARCH("Firestorm",$L162))),1, IF(ISNUMBER(SEARCH("Blast",$L162)),(4+$F162+(2-$F162)*0.5)/6*2,(4+$F162)/6)) *
IF(ISNUMBER(SEARCH("Fusion",$L162)), _xlfn.IFS(AA$24-$I162 &lt;=1, 9/10, AA$24-$I162 &lt;=10,(11-(AA$24-$I162))/10, AA$24-$I162 &gt;=11, 0),
_xlfn.IFS(AA$24-$I162 &lt;=1, 5/6, AA$24-$I162 &lt;=5, (7-(AA$24-$I162))/6, AND(AA$24-$I162 =6,NOT(_xlfn.IFNA(ISNUMBER(SEARCH("Rending",$L162)),FALSE))), (7-(AA$24-$I162))/6, AND(AA$24-$I162 &gt;=7,NOT(_xlfn.IFNA(ISNUMBER(SEARCH("Rending",$L162)),FALSE))), 0, AA$24-$I162 =7, (7-(AA$24-1-$I162))/6, AA$24-$I162 =8, (7-(AA$24-2-$I162))/6*2/3, AA$24-$I162 =9, (7-(AA$24-3-$I162))/6*1/3, TRUE, 0)) *
IF(ISNUMBER(SEARCH("Ordinance",$L162)),7/6,1) *
IF(OR(ISNUMBER(SEARCH("Melee",$L162)),ISNUMBER(SEARCH("Bypass",$L162))),1.5,1)</f>
        <v>0.20833333333333334</v>
      </c>
      <c r="AB162" s="17" cm="1">
        <f t="array" ref="AB162">$H162 *
IF(ISNUMBER(SEARCH("Rapid",$L162)),7/6,1) *
IF(OR(ISNUMBER(SEARCH("Beam",$L162)),ISNUMBER(SEARCH("Firestorm",$L162))),1, IF(ISNUMBER(SEARCH("Blast",$L162)),(4+$F162+(2-$F162)*0.5)/6*2,(4+$F162)/6)) *
IF(ISNUMBER(SEARCH("Fusion",$L162)), _xlfn.IFS(AB$24-$I162 &lt;=1, 9/10, AB$24-$I162 &lt;=10,(11-(AB$24-$I162))/10, AB$24-$I162 &gt;=11, 0),
_xlfn.IFS(AB$24-$I162 &lt;=1, 5/6, AB$24-$I162 &lt;=5, (7-(AB$24-$I162))/6, AND(AB$24-$I162 =6,NOT(_xlfn.IFNA(ISNUMBER(SEARCH("Rending",$L162)),FALSE))), (7-(AB$24-$I162))/6, AND(AB$24-$I162 &gt;=7,NOT(_xlfn.IFNA(ISNUMBER(SEARCH("Rending",$L162)),FALSE))), 0, AB$24-$I162 =7, (7-(AB$24-1-$I162))/6, AB$24-$I162 =8, (7-(AB$24-2-$I162))/6*2/3, AB$24-$I162 =9, (7-(AB$24-3-$I162))/6*1/3, TRUE, 0)) *
IF(ISNUMBER(SEARCH("Ordinance",$L162)),7/6,1) *
IF(OR(ISNUMBER(SEARCH("Melee",$L162)),ISNUMBER(SEARCH("Bypass",$L162))),1.5,1)</f>
        <v>0</v>
      </c>
      <c r="AC162" s="17" cm="1">
        <f t="array" ref="AC162">$H162 *
IF(ISNUMBER(SEARCH("Rapid",$L162)),7/6,1) *
IF(OR(ISNUMBER(SEARCH("Beam",$L162)),ISNUMBER(SEARCH("Firestorm",$L162))),1, IF(ISNUMBER(SEARCH("Blast",$L162)),(4+$F162+(2-$F162)*0.5)/6*2,(4+$F162)/6)) *
IF(ISNUMBER(SEARCH("Fusion",$L162)), _xlfn.IFS(AC$24-$I162 &lt;=1, 9/10, AC$24-$I162 &lt;=10,(11-(AC$24-$I162))/10, AC$24-$I162 &gt;=11, 0),
_xlfn.IFS(AC$24-$I162 &lt;=1, 5/6, AC$24-$I162 &lt;=5, (7-(AC$24-$I162))/6, AND(AC$24-$I162 =6,NOT(_xlfn.IFNA(ISNUMBER(SEARCH("Rending",$L162)),FALSE))), (7-(AC$24-$I162))/6, AND(AC$24-$I162 &gt;=7,NOT(_xlfn.IFNA(ISNUMBER(SEARCH("Rending",$L162)),FALSE))), 0, AC$24-$I162 =7, (7-(AC$24-1-$I162))/6, AC$24-$I162 =8, (7-(AC$24-2-$I162))/6*2/3, AC$24-$I162 =9, (7-(AC$24-3-$I162))/6*1/3, TRUE, 0)) *
IF(ISNUMBER(SEARCH("Ordinance",$L162)),7/6,1) *
IF(OR(ISNUMBER(SEARCH("Melee",$L162)),ISNUMBER(SEARCH("Bypass",$L162))),1.5,1)</f>
        <v>0</v>
      </c>
      <c r="AD162" s="17" cm="1">
        <f t="array" ref="AD162">$H162 *
IF(ISNUMBER(SEARCH("Rapid",$L162)),7/6,1) *
IF(OR(ISNUMBER(SEARCH("Beam",$L162)),ISNUMBER(SEARCH("Firestorm",$L162))),1, IF(ISNUMBER(SEARCH("Blast",$L162)),(4+$F162+(2-$F162)*0.5)/6*2,(4+$F162)/6)) *
IF(ISNUMBER(SEARCH("Fusion",$L162)), _xlfn.IFS(AD$24-$I162 &lt;=1, 9/10, AD$24-$I162 &lt;=10,(11-(AD$24-$I162))/10, AD$24-$I162 &gt;=11, 0),
_xlfn.IFS(AD$24-$I162 &lt;=1, 5/6, AD$24-$I162 &lt;=5, (7-(AD$24-$I162))/6, AND(AD$24-$I162 =6,NOT(_xlfn.IFNA(ISNUMBER(SEARCH("Rending",$L162)),FALSE))), (7-(AD$24-$I162))/6, AND(AD$24-$I162 &gt;=7,NOT(_xlfn.IFNA(ISNUMBER(SEARCH("Rending",$L162)),FALSE))), 0, AD$24-$I162 =7, (7-(AD$24-1-$I162))/6, AD$24-$I162 =8, (7-(AD$24-2-$I162))/6*2/3, AD$24-$I162 =9, (7-(AD$24-3-$I162))/6*1/3, TRUE, 0)) *
IF(ISNUMBER(SEARCH("Ordinance",$L162)),7/6,1) *
IF(OR(ISNUMBER(SEARCH("Melee",$L162)),ISNUMBER(SEARCH("Bypass",$L162))),1.5,1)</f>
        <v>0</v>
      </c>
      <c r="AE162" s="17" cm="1">
        <f t="array" ref="AE162">$H162 *
IF(ISNUMBER(SEARCH("Rapid",$L162)),7/6,1) *
IF(OR(ISNUMBER(SEARCH("Beam",$L162)),ISNUMBER(SEARCH("Firestorm",$L162))),1, IF(ISNUMBER(SEARCH("Blast",$L162)),(4+$F162+(2-$F162)*0.5)/6*2,(4+$F162)/6)) *
IF(ISNUMBER(SEARCH("Fusion",$L162)), _xlfn.IFS(AE$24-$I162 &lt;=1, 9/10, AE$24-$I162 &lt;=10,(11-(AE$24-$I162))/10, AE$24-$I162 &gt;=11, 0),
_xlfn.IFS(AE$24-$I162 &lt;=1, 5/6, AE$24-$I162 &lt;=5, (7-(AE$24-$I162))/6, AND(AE$24-$I162 =6,NOT(_xlfn.IFNA(ISNUMBER(SEARCH("Rending",$L162)),FALSE))), (7-(AE$24-$I162))/6, AND(AE$24-$I162 &gt;=7,NOT(_xlfn.IFNA(ISNUMBER(SEARCH("Rending",$L162)),FALSE))), 0, AE$24-$I162 =7, (7-(AE$24-1-$I162))/6, AE$24-$I162 =8, (7-(AE$24-2-$I162))/6*2/3, AE$24-$I162 =9, (7-(AE$24-3-$I162))/6*1/3, TRUE, 0)) *
IF(ISNUMBER(SEARCH("Ordinance",$L162)),7/6,1) *
IF(OR(ISNUMBER(SEARCH("Melee",$L162)),ISNUMBER(SEARCH("Bypass",$L162))),1.5,1)</f>
        <v>0</v>
      </c>
      <c r="AF162" s="17" cm="1">
        <f t="array" ref="AF162">$H162 *
IF(ISNUMBER(SEARCH("Rapid",$L162)),7/6,1) *
IF(OR(ISNUMBER(SEARCH("Beam",$L162)),ISNUMBER(SEARCH("Firestorm",$L162))),1, IF(ISNUMBER(SEARCH("Blast",$L162)),(4+$F162+(2-$F162)*0.5)/6*2,(4+$F162)/6)) *
IF(ISNUMBER(SEARCH("Fusion",$L162)), _xlfn.IFS(AF$24-$I162 &lt;=1, 9/10, AF$24-$I162 &lt;=10,(11-(AF$24-$I162))/10, AF$24-$I162 &gt;=11, 0),
_xlfn.IFS(AF$24-$I162 &lt;=1, 5/6, AF$24-$I162 &lt;=5, (7-(AF$24-$I162))/6, AND(AF$24-$I162 =6,NOT(_xlfn.IFNA(ISNUMBER(SEARCH("Rending",$L162)),FALSE))), (7-(AF$24-$I162))/6, AND(AF$24-$I162 &gt;=7,NOT(_xlfn.IFNA(ISNUMBER(SEARCH("Rending",$L162)),FALSE))), 0, AF$24-$I162 =7, (7-(AF$24-1-$I162))/6, AF$24-$I162 =8, (7-(AF$24-2-$I162))/6*2/3, AF$24-$I162 =9, (7-(AF$24-3-$I162))/6*1/3, TRUE, 0)) *
IF(ISNUMBER(SEARCH("Ordinance",$L162)),7/6,1) *
IF(OR(ISNUMBER(SEARCH("Melee",$L162)),ISNUMBER(SEARCH("Bypass",$L162))),1.5,1)</f>
        <v>0</v>
      </c>
      <c r="AG162" s="16">
        <f t="shared" si="35"/>
        <v>0</v>
      </c>
      <c r="AH162" s="16">
        <f t="shared" si="36"/>
        <v>0</v>
      </c>
      <c r="AI162" s="17" cm="1">
        <f t="array" ref="AI162">$H162 *
IF(ISNUMBER(SEARCH("Rapid",$L162)),7/6,1) *
IF(OR(ISNUMBER(SEARCH("Beam",$L162)),ISNUMBER(SEARCH("Firestorm",$L162))),1, IF(ISNUMBER(SEARCH("Blast",$L162)),(4+$G162+(2-$G162)*0.5)/6*2,(4+$G162)/6)) *
_xlfn.IFS(AI$24-$I162 &lt;=1, 5/6, AI$24-$I162 &lt;=5, (7-(AI$24-$I162))/6, AND(AI$24-$I162 =6,NOT(_xlfn.IFNA(ISNUMBER(SEARCH("Rending",$L162)),FALSE))), (7-(AI$24-$I162))/6, AND(AI$24-$I162 &gt;=7,NOT(_xlfn.IFNA(ISNUMBER(SEARCH("Rending",$L162)),FALSE))), 0, AI$24-$I162 =7, (7-(AI$24-1-$I162))/6, AI$24-$I162 =8, (7-(AI$24-2-$I162))/6*2/3, AI$24-$I162 =9, (7-(AI$24-3-$I162))/6*1/3, TRUE, 0) *
IF(ISNUMBER(SEARCH("Ordinance",$L162)),7/6,1) *
IF(OR(ISNUMBER(SEARCH("Melee",$L162)),ISNUMBER(SEARCH("Bypass",$L162))),1.5,1)</f>
        <v>0.66666666666666663</v>
      </c>
      <c r="AJ162" s="17" cm="1">
        <f t="array" ref="AJ162">$H162 *
IF(ISNUMBER(SEARCH("Rapid",$L162)),7/6,1) *
IF(OR(ISNUMBER(SEARCH("Beam",$L162)),ISNUMBER(SEARCH("Firestorm",$L162))),1, IF(ISNUMBER(SEARCH("Blast",$L162)),(4+$G162+(2-$G162)*0.5)/6*2,(4+$G162)/6)) *
_xlfn.IFS(AJ$24-$I162 &lt;=1, 5/6, AJ$24-$I162 &lt;=5, (7-(AJ$24-$I162))/6, AND(AJ$24-$I162 =6,NOT(_xlfn.IFNA(ISNUMBER(SEARCH("Rending",$L162)),FALSE))), (7-(AJ$24-$I162))/6, AND(AJ$24-$I162 &gt;=7,NOT(_xlfn.IFNA(ISNUMBER(SEARCH("Rending",$L162)),FALSE))), 0, AJ$24-$I162 =7, (7-(AJ$24-1-$I162))/6, AJ$24-$I162 =8, (7-(AJ$24-2-$I162))/6*2/3, AJ$24-$I162 =9, (7-(AJ$24-3-$I162))/6*1/3, TRUE, 0) *
IF(ISNUMBER(SEARCH("Ordinance",$L162)),7/6,1) *
IF(OR(ISNUMBER(SEARCH("Melee",$L162)),ISNUMBER(SEARCH("Bypass",$L162))),1.5,1)</f>
        <v>0.5</v>
      </c>
      <c r="AK162" s="17" cm="1">
        <f t="array" ref="AK162">$H162 *
IF(ISNUMBER(SEARCH("Rapid",$L162)),7/6,1) *
IF(OR(ISNUMBER(SEARCH("Beam",$L162)),ISNUMBER(SEARCH("Firestorm",$L162))),1, IF(ISNUMBER(SEARCH("Blast",$L162)),(4+$G162+(2-$G162)*0.5)/6*2,(4+$G162)/6)) *
_xlfn.IFS(AK$24-$I162 &lt;=1, 5/6, AK$24-$I162 &lt;=5, (7-(AK$24-$I162))/6, AND(AK$24-$I162 =6,NOT(_xlfn.IFNA(ISNUMBER(SEARCH("Rending",$L162)),FALSE))), (7-(AK$24-$I162))/6, AND(AK$24-$I162 &gt;=7,NOT(_xlfn.IFNA(ISNUMBER(SEARCH("Rending",$L162)),FALSE))), 0, AK$24-$I162 =7, (7-(AK$24-1-$I162))/6, AK$24-$I162 =8, (7-(AK$24-2-$I162))/6*2/3, AK$24-$I162 =9, (7-(AK$24-3-$I162))/6*1/3, TRUE, 0) *
IF(ISNUMBER(SEARCH("Ordinance",$L162)),7/6,1) *
IF(OR(ISNUMBER(SEARCH("Melee",$L162)),ISNUMBER(SEARCH("Bypass",$L162))),1.5,1)</f>
        <v>0.33333333333333331</v>
      </c>
      <c r="AL162" s="17" cm="1">
        <f t="array" ref="AL162">$H162 *
IF(ISNUMBER(SEARCH("Rapid",$L162)),7/6,1) *
IF(OR(ISNUMBER(SEARCH("Beam",$L162)),ISNUMBER(SEARCH("Firestorm",$L162))),1, IF(ISNUMBER(SEARCH("Blast",$L162)),(4+$G162+(2-$G162)*0.5)/6*2,(4+$G162)/6)) *
_xlfn.IFS(AL$24-$I162 &lt;=1, 5/6, AL$24-$I162 &lt;=5, (7-(AL$24-$I162))/6, AND(AL$24-$I162 =6,NOT(_xlfn.IFNA(ISNUMBER(SEARCH("Rending",$L162)),FALSE))), (7-(AL$24-$I162))/6, AND(AL$24-$I162 &gt;=7,NOT(_xlfn.IFNA(ISNUMBER(SEARCH("Rending",$L162)),FALSE))), 0, AL$24-$I162 =7, (7-(AL$24-1-$I162))/6, AL$24-$I162 =8, (7-(AL$24-2-$I162))/6*2/3, AL$24-$I162 =9, (7-(AL$24-3-$I162))/6*1/3, TRUE, 0) *
IF(ISNUMBER(SEARCH("Ordinance",$L162)),7/6,1) *
IF(OR(ISNUMBER(SEARCH("Melee",$L162)),ISNUMBER(SEARCH("Bypass",$L162))),1.5,1)</f>
        <v>0.16666666666666666</v>
      </c>
      <c r="AM162" s="17" cm="1">
        <f t="array" ref="AM162">$H162 *
IF(ISNUMBER(SEARCH("Rapid",$L162)),7/6,1) *
IF(OR(ISNUMBER(SEARCH("Beam",$L162)),ISNUMBER(SEARCH("Firestorm",$L162))),1, IF(ISNUMBER(SEARCH("Blast",$L162)),(4+$G162+(2-$G162)*0.5)/6*2,(4+$G162)/6)) *
_xlfn.IFS(AM$24-$I162 &lt;=1, 5/6, AM$24-$I162 &lt;=5, (7-(AM$24-$I162))/6, AND(AM$24-$I162 =6,NOT(_xlfn.IFNA(ISNUMBER(SEARCH("Rending",$L162)),FALSE))), (7-(AM$24-$I162))/6, AND(AM$24-$I162 &gt;=7,NOT(_xlfn.IFNA(ISNUMBER(SEARCH("Rending",$L162)),FALSE))), 0, AM$24-$I162 =7, (7-(AM$24-1-$I162))/6, AM$24-$I162 =8, (7-(AM$24-2-$I162))/6*2/3, AM$24-$I162 =9, (7-(AM$24-3-$I162))/6*1/3, TRUE, 0) *
IF(ISNUMBER(SEARCH("Ordinance",$L162)),7/6,1) *
IF(OR(ISNUMBER(SEARCH("Melee",$L162)),ISNUMBER(SEARCH("Bypass",$L162))),1.5,1)</f>
        <v>0</v>
      </c>
      <c r="AN162" s="17" cm="1">
        <f t="array" ref="AN162">$H162 *
IF(ISNUMBER(SEARCH("Rapid",$L162)),7/6,1) *
IF(OR(ISNUMBER(SEARCH("Beam",$L162)),ISNUMBER(SEARCH("Firestorm",$L162))),1, IF(ISNUMBER(SEARCH("Blast",$L162)),(4+$G162+(2-$G162)*0.5)/6*2,(4+$G162)/6)) *
_xlfn.IFS(AN$24-$I162 &lt;=1, 5/6, AN$24-$I162 &lt;=5, (7-(AN$24-$I162))/6, AND(AN$24-$I162 =6,NOT(_xlfn.IFNA(ISNUMBER(SEARCH("Rending",$L162)),FALSE))), (7-(AN$24-$I162))/6, AND(AN$24-$I162 &gt;=7,NOT(_xlfn.IFNA(ISNUMBER(SEARCH("Rending",$L162)),FALSE))), 0, AN$24-$I162 =7, (7-(AN$24-1-$I162))/6, AN$24-$I162 =8, (7-(AN$24-2-$I162))/6*2/3, AN$24-$I162 =9, (7-(AN$24-3-$I162))/6*1/3, TRUE, 0) *
IF(ISNUMBER(SEARCH("Ordinance",$L162)),7/6,1) *
IF(OR(ISNUMBER(SEARCH("Melee",$L162)),ISNUMBER(SEARCH("Bypass",$L162))),1.5,1)</f>
        <v>0</v>
      </c>
      <c r="AO162" s="17" cm="1">
        <f t="array" ref="AO162">$H162 *
IF(ISNUMBER(SEARCH("Rapid",$L162)),7/6,1) *
IF(OR(ISNUMBER(SEARCH("Beam",$L162)),ISNUMBER(SEARCH("Firestorm",$L162))),1, IF(ISNUMBER(SEARCH("Blast",$L162)),(4+$G162+(2-$G162)*0.5)/6*2,(4+$G162)/6)) *
_xlfn.IFS(AO$24-$I162 &lt;=1, 5/6, AO$24-$I162 &lt;=5, (7-(AO$24-$I162))/6, AND(AO$24-$I162 =6,NOT(_xlfn.IFNA(ISNUMBER(SEARCH("Rending",$L162)),FALSE))), (7-(AO$24-$I162))/6, AND(AO$24-$I162 &gt;=7,NOT(_xlfn.IFNA(ISNUMBER(SEARCH("Rending",$L162)),FALSE))), 0, AO$24-$I162 =7, (7-(AO$24-1-$I162))/6, AO$24-$I162 =8, (7-(AO$24-2-$I162))/6*2/3, AO$24-$I162 =9, (7-(AO$24-3-$I162))/6*1/3, TRUE, 0) *
IF(ISNUMBER(SEARCH("Ordinance",$L162)),7/6,1) *
IF(OR(ISNUMBER(SEARCH("Melee",$L162)),ISNUMBER(SEARCH("Bypass",$L162))),1.5,1)</f>
        <v>0</v>
      </c>
      <c r="AP162" s="17" cm="1">
        <f t="array" ref="AP162">$H162 *
IF(ISNUMBER(SEARCH("Rapid",$L162)),7/6,1) *
IF(OR(ISNUMBER(SEARCH("Beam",$L162)),ISNUMBER(SEARCH("Firestorm",$L162))),1, IF(ISNUMBER(SEARCH("Blast",$L162)),(4+$G162+(2-$G162)*0.5)/6*2,(4+$G162)/6)) *
_xlfn.IFS(AP$24-$I162 &lt;=1, 5/6, AP$24-$I162 &lt;=5, (7-(AP$24-$I162))/6, AND(AP$24-$I162 =6,NOT(_xlfn.IFNA(ISNUMBER(SEARCH("Rending",$L162)),FALSE))), (7-(AP$24-$I162))/6, AND(AP$24-$I162 &gt;=7,NOT(_xlfn.IFNA(ISNUMBER(SEARCH("Rending",$L162)),FALSE))), 0, AP$24-$I162 =7, (7-(AP$24-1-$I162))/6, AP$24-$I162 =8, (7-(AP$24-2-$I162))/6*2/3, AP$24-$I162 =9, (7-(AP$24-3-$I162))/6*1/3, TRUE, 0) *
IF(ISNUMBER(SEARCH("Ordinance",$L162)),7/6,1) *
IF(OR(ISNUMBER(SEARCH("Melee",$L162)),ISNUMBER(SEARCH("Bypass",$L162))),1.5,1)</f>
        <v>0</v>
      </c>
      <c r="AQ162" s="17" cm="1">
        <f t="array" ref="AQ162">$H162 *
IF(ISNUMBER(SEARCH("Rapid",$L162)),7/6,1) *
IF(OR(ISNUMBER(SEARCH("Beam",$L162)),ISNUMBER(SEARCH("Firestorm",$L162))),1, IF(ISNUMBER(SEARCH("Blast",$L162)),(4+$G162+(2-$G162)*0.5)/6*2,(4+$G162)/6)) *
_xlfn.IFS(AQ$24-$I162 &lt;=1, 5/6, AQ$24-$I162 &lt;=5, (7-(AQ$24-$I162))/6, AND(AQ$24-$I162 =6,NOT(_xlfn.IFNA(ISNUMBER(SEARCH("Rending",$L162)),FALSE))), (7-(AQ$24-$I162))/6, AND(AQ$24-$I162 &gt;=7,NOT(_xlfn.IFNA(ISNUMBER(SEARCH("Rending",$L162)),FALSE))), 0, AQ$24-$I162 =7, (7-(AQ$24-1-$I162))/6, AQ$24-$I162 =8, (7-(AQ$24-2-$I162))/6*2/3, AQ$24-$I162 =9, (7-(AQ$24-3-$I162))/6*1/3, TRUE, 0) *
IF(ISNUMBER(SEARCH("Ordinance",$L162)),7/6,1) *
IF(OR(ISNUMBER(SEARCH("Melee",$L162)),ISNUMBER(SEARCH("Bypass",$L162))),1.5,1)</f>
        <v>0</v>
      </c>
      <c r="AS162" s="16">
        <f t="shared" si="41"/>
        <v>0</v>
      </c>
      <c r="AT162" s="16">
        <f t="shared" si="42"/>
        <v>0</v>
      </c>
      <c r="AU162" s="16">
        <f t="shared" si="43"/>
        <v>0.19444444444444445</v>
      </c>
      <c r="AV162" s="2">
        <v>10</v>
      </c>
    </row>
    <row r="163" spans="1:48" x14ac:dyDescent="0.3">
      <c r="A163" s="32" t="s">
        <v>474</v>
      </c>
      <c r="B163" s="33">
        <v>5</v>
      </c>
      <c r="C163" s="33">
        <v>8</v>
      </c>
      <c r="D163" s="33">
        <v>1</v>
      </c>
      <c r="E163" s="33"/>
      <c r="F163" s="10"/>
      <c r="G163" s="10"/>
      <c r="H163" s="33">
        <v>1</v>
      </c>
      <c r="I163" s="33">
        <v>8</v>
      </c>
      <c r="J163" s="33"/>
      <c r="K163" s="33"/>
      <c r="L163" s="33" t="s">
        <v>481</v>
      </c>
      <c r="M163" s="3" t="s">
        <v>225</v>
      </c>
      <c r="V163" s="16">
        <f t="shared" si="33"/>
        <v>0.22222222222222221</v>
      </c>
      <c r="W163" s="16">
        <f t="shared" si="34"/>
        <v>0.33333333333333331</v>
      </c>
      <c r="X163" s="17" cm="1">
        <f t="array" ref="X163">$H163 *
IF(ISNUMBER(SEARCH("Rapid",$L163)),7/6,1) *
IF(OR(ISNUMBER(SEARCH("Beam",$L163)),ISNUMBER(SEARCH("Firestorm",$L163))),1, IF(ISNUMBER(SEARCH("Blast",$L163)),(4+$F163+(2-$F163)*0.5)/6*2,(4+$F163)/6)) *
IF(ISNUMBER(SEARCH("Fusion",$L163)), _xlfn.IFS(X$24-$I163 &lt;=1, 9/10, X$24-$I163 &lt;=10,(11-(X$24-$I163))/10, X$24-$I163 &gt;=11, 0),
_xlfn.IFS(X$24-$I163 &lt;=1, 5/6, X$24-$I163 &lt;=5, (7-(X$24-$I163))/6, AND(X$24-$I163 =6,NOT(_xlfn.IFNA(ISNUMBER(SEARCH("Rending",$L163)),FALSE))), (7-(X$24-$I163))/6, AND(X$24-$I163 &gt;=7,NOT(_xlfn.IFNA(ISNUMBER(SEARCH("Rending",$L163)),FALSE))), 0, X$24-$I163 =7, (7-(X$24-1-$I163))/6, X$24-$I163 =8, (7-(X$24-2-$I163))/6*2/3, X$24-$I163 =9, (7-(X$24-3-$I163))/6*1/3, TRUE, 0)) *
IF(ISNUMBER(SEARCH("Ordinance",$L163)),7/6,1) *
IF(OR(ISNUMBER(SEARCH("Melee",$L163)),ISNUMBER(SEARCH("Bypass",$L163))),1.5,1)</f>
        <v>0.6</v>
      </c>
      <c r="Y163" s="17" cm="1">
        <f t="array" ref="Y163">$H163 *
IF(ISNUMBER(SEARCH("Rapid",$L163)),7/6,1) *
IF(OR(ISNUMBER(SEARCH("Beam",$L163)),ISNUMBER(SEARCH("Firestorm",$L163))),1, IF(ISNUMBER(SEARCH("Blast",$L163)),(4+$F163+(2-$F163)*0.5)/6*2,(4+$F163)/6)) *
IF(ISNUMBER(SEARCH("Fusion",$L163)), _xlfn.IFS(Y$24-$I163 &lt;=1, 9/10, Y$24-$I163 &lt;=10,(11-(Y$24-$I163))/10, Y$24-$I163 &gt;=11, 0),
_xlfn.IFS(Y$24-$I163 &lt;=1, 5/6, Y$24-$I163 &lt;=5, (7-(Y$24-$I163))/6, AND(Y$24-$I163 =6,NOT(_xlfn.IFNA(ISNUMBER(SEARCH("Rending",$L163)),FALSE))), (7-(Y$24-$I163))/6, AND(Y$24-$I163 &gt;=7,NOT(_xlfn.IFNA(ISNUMBER(SEARCH("Rending",$L163)),FALSE))), 0, Y$24-$I163 =7, (7-(Y$24-1-$I163))/6, Y$24-$I163 =8, (7-(Y$24-2-$I163))/6*2/3, Y$24-$I163 =9, (7-(Y$24-3-$I163))/6*1/3, TRUE, 0)) *
IF(ISNUMBER(SEARCH("Ordinance",$L163)),7/6,1) *
IF(OR(ISNUMBER(SEARCH("Melee",$L163)),ISNUMBER(SEARCH("Bypass",$L163))),1.5,1)</f>
        <v>0.6</v>
      </c>
      <c r="Z163" s="17" cm="1">
        <f t="array" ref="Z163">$H163 *
IF(ISNUMBER(SEARCH("Rapid",$L163)),7/6,1) *
IF(OR(ISNUMBER(SEARCH("Beam",$L163)),ISNUMBER(SEARCH("Firestorm",$L163))),1, IF(ISNUMBER(SEARCH("Blast",$L163)),(4+$F163+(2-$F163)*0.5)/6*2,(4+$F163)/6)) *
IF(ISNUMBER(SEARCH("Fusion",$L163)), _xlfn.IFS(Z$24-$I163 &lt;=1, 9/10, Z$24-$I163 &lt;=10,(11-(Z$24-$I163))/10, Z$24-$I163 &gt;=11, 0),
_xlfn.IFS(Z$24-$I163 &lt;=1, 5/6, Z$24-$I163 &lt;=5, (7-(Z$24-$I163))/6, AND(Z$24-$I163 =6,NOT(_xlfn.IFNA(ISNUMBER(SEARCH("Rending",$L163)),FALSE))), (7-(Z$24-$I163))/6, AND(Z$24-$I163 &gt;=7,NOT(_xlfn.IFNA(ISNUMBER(SEARCH("Rending",$L163)),FALSE))), 0, Z$24-$I163 =7, (7-(Z$24-1-$I163))/6, Z$24-$I163 =8, (7-(Z$24-2-$I163))/6*2/3, Z$24-$I163 =9, (7-(Z$24-3-$I163))/6*1/3, TRUE, 0)) *
IF(ISNUMBER(SEARCH("Ordinance",$L163)),7/6,1) *
IF(OR(ISNUMBER(SEARCH("Melee",$L163)),ISNUMBER(SEARCH("Bypass",$L163))),1.5,1)</f>
        <v>0.53333333333333333</v>
      </c>
      <c r="AA163" s="17" cm="1">
        <f t="array" ref="AA163">$H163 *
IF(ISNUMBER(SEARCH("Rapid",$L163)),7/6,1) *
IF(OR(ISNUMBER(SEARCH("Beam",$L163)),ISNUMBER(SEARCH("Firestorm",$L163))),1, IF(ISNUMBER(SEARCH("Blast",$L163)),(4+$F163+(2-$F163)*0.5)/6*2,(4+$F163)/6)) *
IF(ISNUMBER(SEARCH("Fusion",$L163)), _xlfn.IFS(AA$24-$I163 &lt;=1, 9/10, AA$24-$I163 &lt;=10,(11-(AA$24-$I163))/10, AA$24-$I163 &gt;=11, 0),
_xlfn.IFS(AA$24-$I163 &lt;=1, 5/6, AA$24-$I163 &lt;=5, (7-(AA$24-$I163))/6, AND(AA$24-$I163 =6,NOT(_xlfn.IFNA(ISNUMBER(SEARCH("Rending",$L163)),FALSE))), (7-(AA$24-$I163))/6, AND(AA$24-$I163 &gt;=7,NOT(_xlfn.IFNA(ISNUMBER(SEARCH("Rending",$L163)),FALSE))), 0, AA$24-$I163 =7, (7-(AA$24-1-$I163))/6, AA$24-$I163 =8, (7-(AA$24-2-$I163))/6*2/3, AA$24-$I163 =9, (7-(AA$24-3-$I163))/6*1/3, TRUE, 0)) *
IF(ISNUMBER(SEARCH("Ordinance",$L163)),7/6,1) *
IF(OR(ISNUMBER(SEARCH("Melee",$L163)),ISNUMBER(SEARCH("Bypass",$L163))),1.5,1)</f>
        <v>0.46666666666666662</v>
      </c>
      <c r="AB163" s="17" cm="1">
        <f t="array" ref="AB163">$H163 *
IF(ISNUMBER(SEARCH("Rapid",$L163)),7/6,1) *
IF(OR(ISNUMBER(SEARCH("Beam",$L163)),ISNUMBER(SEARCH("Firestorm",$L163))),1, IF(ISNUMBER(SEARCH("Blast",$L163)),(4+$F163+(2-$F163)*0.5)/6*2,(4+$F163)/6)) *
IF(ISNUMBER(SEARCH("Fusion",$L163)), _xlfn.IFS(AB$24-$I163 &lt;=1, 9/10, AB$24-$I163 &lt;=10,(11-(AB$24-$I163))/10, AB$24-$I163 &gt;=11, 0),
_xlfn.IFS(AB$24-$I163 &lt;=1, 5/6, AB$24-$I163 &lt;=5, (7-(AB$24-$I163))/6, AND(AB$24-$I163 =6,NOT(_xlfn.IFNA(ISNUMBER(SEARCH("Rending",$L163)),FALSE))), (7-(AB$24-$I163))/6, AND(AB$24-$I163 &gt;=7,NOT(_xlfn.IFNA(ISNUMBER(SEARCH("Rending",$L163)),FALSE))), 0, AB$24-$I163 =7, (7-(AB$24-1-$I163))/6, AB$24-$I163 =8, (7-(AB$24-2-$I163))/6*2/3, AB$24-$I163 =9, (7-(AB$24-3-$I163))/6*1/3, TRUE, 0)) *
IF(ISNUMBER(SEARCH("Ordinance",$L163)),7/6,1) *
IF(OR(ISNUMBER(SEARCH("Melee",$L163)),ISNUMBER(SEARCH("Bypass",$L163))),1.5,1)</f>
        <v>0.39999999999999997</v>
      </c>
      <c r="AC163" s="17" cm="1">
        <f t="array" ref="AC163">$H163 *
IF(ISNUMBER(SEARCH("Rapid",$L163)),7/6,1) *
IF(OR(ISNUMBER(SEARCH("Beam",$L163)),ISNUMBER(SEARCH("Firestorm",$L163))),1, IF(ISNUMBER(SEARCH("Blast",$L163)),(4+$F163+(2-$F163)*0.5)/6*2,(4+$F163)/6)) *
IF(ISNUMBER(SEARCH("Fusion",$L163)), _xlfn.IFS(AC$24-$I163 &lt;=1, 9/10, AC$24-$I163 &lt;=10,(11-(AC$24-$I163))/10, AC$24-$I163 &gt;=11, 0),
_xlfn.IFS(AC$24-$I163 &lt;=1, 5/6, AC$24-$I163 &lt;=5, (7-(AC$24-$I163))/6, AND(AC$24-$I163 =6,NOT(_xlfn.IFNA(ISNUMBER(SEARCH("Rending",$L163)),FALSE))), (7-(AC$24-$I163))/6, AND(AC$24-$I163 &gt;=7,NOT(_xlfn.IFNA(ISNUMBER(SEARCH("Rending",$L163)),FALSE))), 0, AC$24-$I163 =7, (7-(AC$24-1-$I163))/6, AC$24-$I163 =8, (7-(AC$24-2-$I163))/6*2/3, AC$24-$I163 =9, (7-(AC$24-3-$I163))/6*1/3, TRUE, 0)) *
IF(ISNUMBER(SEARCH("Ordinance",$L163)),7/6,1) *
IF(OR(ISNUMBER(SEARCH("Melee",$L163)),ISNUMBER(SEARCH("Bypass",$L163))),1.5,1)</f>
        <v>0.33333333333333331</v>
      </c>
      <c r="AD163" s="17" cm="1">
        <f t="array" ref="AD163">$H163 *
IF(ISNUMBER(SEARCH("Rapid",$L163)),7/6,1) *
IF(OR(ISNUMBER(SEARCH("Beam",$L163)),ISNUMBER(SEARCH("Firestorm",$L163))),1, IF(ISNUMBER(SEARCH("Blast",$L163)),(4+$F163+(2-$F163)*0.5)/6*2,(4+$F163)/6)) *
IF(ISNUMBER(SEARCH("Fusion",$L163)), _xlfn.IFS(AD$24-$I163 &lt;=1, 9/10, AD$24-$I163 &lt;=10,(11-(AD$24-$I163))/10, AD$24-$I163 &gt;=11, 0),
_xlfn.IFS(AD$24-$I163 &lt;=1, 5/6, AD$24-$I163 &lt;=5, (7-(AD$24-$I163))/6, AND(AD$24-$I163 =6,NOT(_xlfn.IFNA(ISNUMBER(SEARCH("Rending",$L163)),FALSE))), (7-(AD$24-$I163))/6, AND(AD$24-$I163 &gt;=7,NOT(_xlfn.IFNA(ISNUMBER(SEARCH("Rending",$L163)),FALSE))), 0, AD$24-$I163 =7, (7-(AD$24-1-$I163))/6, AD$24-$I163 =8, (7-(AD$24-2-$I163))/6*2/3, AD$24-$I163 =9, (7-(AD$24-3-$I163))/6*1/3, TRUE, 0)) *
IF(ISNUMBER(SEARCH("Ordinance",$L163)),7/6,1) *
IF(OR(ISNUMBER(SEARCH("Melee",$L163)),ISNUMBER(SEARCH("Bypass",$L163))),1.5,1)</f>
        <v>0.26666666666666666</v>
      </c>
      <c r="AE163" s="17" cm="1">
        <f t="array" ref="AE163">$H163 *
IF(ISNUMBER(SEARCH("Rapid",$L163)),7/6,1) *
IF(OR(ISNUMBER(SEARCH("Beam",$L163)),ISNUMBER(SEARCH("Firestorm",$L163))),1, IF(ISNUMBER(SEARCH("Blast",$L163)),(4+$F163+(2-$F163)*0.5)/6*2,(4+$F163)/6)) *
IF(ISNUMBER(SEARCH("Fusion",$L163)), _xlfn.IFS(AE$24-$I163 &lt;=1, 9/10, AE$24-$I163 &lt;=10,(11-(AE$24-$I163))/10, AE$24-$I163 &gt;=11, 0),
_xlfn.IFS(AE$24-$I163 &lt;=1, 5/6, AE$24-$I163 &lt;=5, (7-(AE$24-$I163))/6, AND(AE$24-$I163 =6,NOT(_xlfn.IFNA(ISNUMBER(SEARCH("Rending",$L163)),FALSE))), (7-(AE$24-$I163))/6, AND(AE$24-$I163 &gt;=7,NOT(_xlfn.IFNA(ISNUMBER(SEARCH("Rending",$L163)),FALSE))), 0, AE$24-$I163 =7, (7-(AE$24-1-$I163))/6, AE$24-$I163 =8, (7-(AE$24-2-$I163))/6*2/3, AE$24-$I163 =9, (7-(AE$24-3-$I163))/6*1/3, TRUE, 0)) *
IF(ISNUMBER(SEARCH("Ordinance",$L163)),7/6,1) *
IF(OR(ISNUMBER(SEARCH("Melee",$L163)),ISNUMBER(SEARCH("Bypass",$L163))),1.5,1)</f>
        <v>0.19999999999999998</v>
      </c>
      <c r="AF163" s="17" cm="1">
        <f t="array" ref="AF163">$H163 *
IF(ISNUMBER(SEARCH("Rapid",$L163)),7/6,1) *
IF(OR(ISNUMBER(SEARCH("Beam",$L163)),ISNUMBER(SEARCH("Firestorm",$L163))),1, IF(ISNUMBER(SEARCH("Blast",$L163)),(4+$F163+(2-$F163)*0.5)/6*2,(4+$F163)/6)) *
IF(ISNUMBER(SEARCH("Fusion",$L163)), _xlfn.IFS(AF$24-$I163 &lt;=1, 9/10, AF$24-$I163 &lt;=10,(11-(AF$24-$I163))/10, AF$24-$I163 &gt;=11, 0),
_xlfn.IFS(AF$24-$I163 &lt;=1, 5/6, AF$24-$I163 &lt;=5, (7-(AF$24-$I163))/6, AND(AF$24-$I163 =6,NOT(_xlfn.IFNA(ISNUMBER(SEARCH("Rending",$L163)),FALSE))), (7-(AF$24-$I163))/6, AND(AF$24-$I163 &gt;=7,NOT(_xlfn.IFNA(ISNUMBER(SEARCH("Rending",$L163)),FALSE))), 0, AF$24-$I163 =7, (7-(AF$24-1-$I163))/6, AF$24-$I163 =8, (7-(AF$24-2-$I163))/6*2/3, AF$24-$I163 =9, (7-(AF$24-3-$I163))/6*1/3, TRUE, 0)) *
IF(ISNUMBER(SEARCH("Ordinance",$L163)),7/6,1) *
IF(OR(ISNUMBER(SEARCH("Melee",$L163)),ISNUMBER(SEARCH("Bypass",$L163))),1.5,1)</f>
        <v>0.13333333333333333</v>
      </c>
      <c r="AG163" s="16">
        <f t="shared" si="35"/>
        <v>0.22222222222222221</v>
      </c>
      <c r="AH163" s="16">
        <f t="shared" si="36"/>
        <v>0.33333333333333331</v>
      </c>
      <c r="AI163" s="17" cm="1">
        <f t="array" ref="AI163">$H163 *
IF(ISNUMBER(SEARCH("Rapid",$L163)),7/6,1) *
IF(OR(ISNUMBER(SEARCH("Beam",$L163)),ISNUMBER(SEARCH("Firestorm",$L163))),1, IF(ISNUMBER(SEARCH("Blast",$L163)),(4+$G163+(2-$G163)*0.5)/6*2,(4+$G163)/6)) *
_xlfn.IFS(AI$24-$I163 &lt;=1, 5/6, AI$24-$I163 &lt;=5, (7-(AI$24-$I163))/6, AND(AI$24-$I163 =6,NOT(_xlfn.IFNA(ISNUMBER(SEARCH("Rending",$L163)),FALSE))), (7-(AI$24-$I163))/6, AND(AI$24-$I163 &gt;=7,NOT(_xlfn.IFNA(ISNUMBER(SEARCH("Rending",$L163)),FALSE))), 0, AI$24-$I163 =7, (7-(AI$24-1-$I163))/6, AI$24-$I163 =8, (7-(AI$24-2-$I163))/6*2/3, AI$24-$I163 =9, (7-(AI$24-3-$I163))/6*1/3, TRUE, 0) *
IF(ISNUMBER(SEARCH("Ordinance",$L163)),7/6,1) *
IF(OR(ISNUMBER(SEARCH("Melee",$L163)),ISNUMBER(SEARCH("Bypass",$L163))),1.5,1)</f>
        <v>0.55555555555555558</v>
      </c>
      <c r="AJ163" s="17" cm="1">
        <f t="array" ref="AJ163">$H163 *
IF(ISNUMBER(SEARCH("Rapid",$L163)),7/6,1) *
IF(OR(ISNUMBER(SEARCH("Beam",$L163)),ISNUMBER(SEARCH("Firestorm",$L163))),1, IF(ISNUMBER(SEARCH("Blast",$L163)),(4+$G163+(2-$G163)*0.5)/6*2,(4+$G163)/6)) *
_xlfn.IFS(AJ$24-$I163 &lt;=1, 5/6, AJ$24-$I163 &lt;=5, (7-(AJ$24-$I163))/6, AND(AJ$24-$I163 =6,NOT(_xlfn.IFNA(ISNUMBER(SEARCH("Rending",$L163)),FALSE))), (7-(AJ$24-$I163))/6, AND(AJ$24-$I163 &gt;=7,NOT(_xlfn.IFNA(ISNUMBER(SEARCH("Rending",$L163)),FALSE))), 0, AJ$24-$I163 =7, (7-(AJ$24-1-$I163))/6, AJ$24-$I163 =8, (7-(AJ$24-2-$I163))/6*2/3, AJ$24-$I163 =9, (7-(AJ$24-3-$I163))/6*1/3, TRUE, 0) *
IF(ISNUMBER(SEARCH("Ordinance",$L163)),7/6,1) *
IF(OR(ISNUMBER(SEARCH("Melee",$L163)),ISNUMBER(SEARCH("Bypass",$L163))),1.5,1)</f>
        <v>0.55555555555555558</v>
      </c>
      <c r="AK163" s="17" cm="1">
        <f t="array" ref="AK163">$H163 *
IF(ISNUMBER(SEARCH("Rapid",$L163)),7/6,1) *
IF(OR(ISNUMBER(SEARCH("Beam",$L163)),ISNUMBER(SEARCH("Firestorm",$L163))),1, IF(ISNUMBER(SEARCH("Blast",$L163)),(4+$G163+(2-$G163)*0.5)/6*2,(4+$G163)/6)) *
_xlfn.IFS(AK$24-$I163 &lt;=1, 5/6, AK$24-$I163 &lt;=5, (7-(AK$24-$I163))/6, AND(AK$24-$I163 =6,NOT(_xlfn.IFNA(ISNUMBER(SEARCH("Rending",$L163)),FALSE))), (7-(AK$24-$I163))/6, AND(AK$24-$I163 &gt;=7,NOT(_xlfn.IFNA(ISNUMBER(SEARCH("Rending",$L163)),FALSE))), 0, AK$24-$I163 =7, (7-(AK$24-1-$I163))/6, AK$24-$I163 =8, (7-(AK$24-2-$I163))/6*2/3, AK$24-$I163 =9, (7-(AK$24-3-$I163))/6*1/3, TRUE, 0) *
IF(ISNUMBER(SEARCH("Ordinance",$L163)),7/6,1) *
IF(OR(ISNUMBER(SEARCH("Melee",$L163)),ISNUMBER(SEARCH("Bypass",$L163))),1.5,1)</f>
        <v>0.44444444444444442</v>
      </c>
      <c r="AL163" s="17" cm="1">
        <f t="array" ref="AL163">$H163 *
IF(ISNUMBER(SEARCH("Rapid",$L163)),7/6,1) *
IF(OR(ISNUMBER(SEARCH("Beam",$L163)),ISNUMBER(SEARCH("Firestorm",$L163))),1, IF(ISNUMBER(SEARCH("Blast",$L163)),(4+$G163+(2-$G163)*0.5)/6*2,(4+$G163)/6)) *
_xlfn.IFS(AL$24-$I163 &lt;=1, 5/6, AL$24-$I163 &lt;=5, (7-(AL$24-$I163))/6, AND(AL$24-$I163 =6,NOT(_xlfn.IFNA(ISNUMBER(SEARCH("Rending",$L163)),FALSE))), (7-(AL$24-$I163))/6, AND(AL$24-$I163 &gt;=7,NOT(_xlfn.IFNA(ISNUMBER(SEARCH("Rending",$L163)),FALSE))), 0, AL$24-$I163 =7, (7-(AL$24-1-$I163))/6, AL$24-$I163 =8, (7-(AL$24-2-$I163))/6*2/3, AL$24-$I163 =9, (7-(AL$24-3-$I163))/6*1/3, TRUE, 0) *
IF(ISNUMBER(SEARCH("Ordinance",$L163)),7/6,1) *
IF(OR(ISNUMBER(SEARCH("Melee",$L163)),ISNUMBER(SEARCH("Bypass",$L163))),1.5,1)</f>
        <v>0.33333333333333331</v>
      </c>
      <c r="AM163" s="17" cm="1">
        <f t="array" ref="AM163">$H163 *
IF(ISNUMBER(SEARCH("Rapid",$L163)),7/6,1) *
IF(OR(ISNUMBER(SEARCH("Beam",$L163)),ISNUMBER(SEARCH("Firestorm",$L163))),1, IF(ISNUMBER(SEARCH("Blast",$L163)),(4+$G163+(2-$G163)*0.5)/6*2,(4+$G163)/6)) *
_xlfn.IFS(AM$24-$I163 &lt;=1, 5/6, AM$24-$I163 &lt;=5, (7-(AM$24-$I163))/6, AND(AM$24-$I163 =6,NOT(_xlfn.IFNA(ISNUMBER(SEARCH("Rending",$L163)),FALSE))), (7-(AM$24-$I163))/6, AND(AM$24-$I163 &gt;=7,NOT(_xlfn.IFNA(ISNUMBER(SEARCH("Rending",$L163)),FALSE))), 0, AM$24-$I163 =7, (7-(AM$24-1-$I163))/6, AM$24-$I163 =8, (7-(AM$24-2-$I163))/6*2/3, AM$24-$I163 =9, (7-(AM$24-3-$I163))/6*1/3, TRUE, 0) *
IF(ISNUMBER(SEARCH("Ordinance",$L163)),7/6,1) *
IF(OR(ISNUMBER(SEARCH("Melee",$L163)),ISNUMBER(SEARCH("Bypass",$L163))),1.5,1)</f>
        <v>0.22222222222222221</v>
      </c>
      <c r="AN163" s="17" cm="1">
        <f t="array" ref="AN163">$H163 *
IF(ISNUMBER(SEARCH("Rapid",$L163)),7/6,1) *
IF(OR(ISNUMBER(SEARCH("Beam",$L163)),ISNUMBER(SEARCH("Firestorm",$L163))),1, IF(ISNUMBER(SEARCH("Blast",$L163)),(4+$G163+(2-$G163)*0.5)/6*2,(4+$G163)/6)) *
_xlfn.IFS(AN$24-$I163 &lt;=1, 5/6, AN$24-$I163 &lt;=5, (7-(AN$24-$I163))/6, AND(AN$24-$I163 =6,NOT(_xlfn.IFNA(ISNUMBER(SEARCH("Rending",$L163)),FALSE))), (7-(AN$24-$I163))/6, AND(AN$24-$I163 &gt;=7,NOT(_xlfn.IFNA(ISNUMBER(SEARCH("Rending",$L163)),FALSE))), 0, AN$24-$I163 =7, (7-(AN$24-1-$I163))/6, AN$24-$I163 =8, (7-(AN$24-2-$I163))/6*2/3, AN$24-$I163 =9, (7-(AN$24-3-$I163))/6*1/3, TRUE, 0) *
IF(ISNUMBER(SEARCH("Ordinance",$L163)),7/6,1) *
IF(OR(ISNUMBER(SEARCH("Melee",$L163)),ISNUMBER(SEARCH("Bypass",$L163))),1.5,1)</f>
        <v>0.1111111111111111</v>
      </c>
      <c r="AO163" s="17" cm="1">
        <f t="array" ref="AO163">$H163 *
IF(ISNUMBER(SEARCH("Rapid",$L163)),7/6,1) *
IF(OR(ISNUMBER(SEARCH("Beam",$L163)),ISNUMBER(SEARCH("Firestorm",$L163))),1, IF(ISNUMBER(SEARCH("Blast",$L163)),(4+$G163+(2-$G163)*0.5)/6*2,(4+$G163)/6)) *
_xlfn.IFS(AO$24-$I163 &lt;=1, 5/6, AO$24-$I163 &lt;=5, (7-(AO$24-$I163))/6, AND(AO$24-$I163 =6,NOT(_xlfn.IFNA(ISNUMBER(SEARCH("Rending",$L163)),FALSE))), (7-(AO$24-$I163))/6, AND(AO$24-$I163 &gt;=7,NOT(_xlfn.IFNA(ISNUMBER(SEARCH("Rending",$L163)),FALSE))), 0, AO$24-$I163 =7, (7-(AO$24-1-$I163))/6, AO$24-$I163 =8, (7-(AO$24-2-$I163))/6*2/3, AO$24-$I163 =9, (7-(AO$24-3-$I163))/6*1/3, TRUE, 0) *
IF(ISNUMBER(SEARCH("Ordinance",$L163)),7/6,1) *
IF(OR(ISNUMBER(SEARCH("Melee",$L163)),ISNUMBER(SEARCH("Bypass",$L163))),1.5,1)</f>
        <v>0</v>
      </c>
      <c r="AP163" s="17" cm="1">
        <f t="array" ref="AP163">$H163 *
IF(ISNUMBER(SEARCH("Rapid",$L163)),7/6,1) *
IF(OR(ISNUMBER(SEARCH("Beam",$L163)),ISNUMBER(SEARCH("Firestorm",$L163))),1, IF(ISNUMBER(SEARCH("Blast",$L163)),(4+$G163+(2-$G163)*0.5)/6*2,(4+$G163)/6)) *
_xlfn.IFS(AP$24-$I163 &lt;=1, 5/6, AP$24-$I163 &lt;=5, (7-(AP$24-$I163))/6, AND(AP$24-$I163 =6,NOT(_xlfn.IFNA(ISNUMBER(SEARCH("Rending",$L163)),FALSE))), (7-(AP$24-$I163))/6, AND(AP$24-$I163 &gt;=7,NOT(_xlfn.IFNA(ISNUMBER(SEARCH("Rending",$L163)),FALSE))), 0, AP$24-$I163 =7, (7-(AP$24-1-$I163))/6, AP$24-$I163 =8, (7-(AP$24-2-$I163))/6*2/3, AP$24-$I163 =9, (7-(AP$24-3-$I163))/6*1/3, TRUE, 0) *
IF(ISNUMBER(SEARCH("Ordinance",$L163)),7/6,1) *
IF(OR(ISNUMBER(SEARCH("Melee",$L163)),ISNUMBER(SEARCH("Bypass",$L163))),1.5,1)</f>
        <v>0</v>
      </c>
      <c r="AQ163" s="17" cm="1">
        <f t="array" ref="AQ163">$H163 *
IF(ISNUMBER(SEARCH("Rapid",$L163)),7/6,1) *
IF(OR(ISNUMBER(SEARCH("Beam",$L163)),ISNUMBER(SEARCH("Firestorm",$L163))),1, IF(ISNUMBER(SEARCH("Blast",$L163)),(4+$G163+(2-$G163)*0.5)/6*2,(4+$G163)/6)) *
_xlfn.IFS(AQ$24-$I163 &lt;=1, 5/6, AQ$24-$I163 &lt;=5, (7-(AQ$24-$I163))/6, AND(AQ$24-$I163 =6,NOT(_xlfn.IFNA(ISNUMBER(SEARCH("Rending",$L163)),FALSE))), (7-(AQ$24-$I163))/6, AND(AQ$24-$I163 &gt;=7,NOT(_xlfn.IFNA(ISNUMBER(SEARCH("Rending",$L163)),FALSE))), 0, AQ$24-$I163 =7, (7-(AQ$24-1-$I163))/6, AQ$24-$I163 =8, (7-(AQ$24-2-$I163))/6*2/3, AQ$24-$I163 =9, (7-(AQ$24-3-$I163))/6*1/3, TRUE, 0) *
IF(ISNUMBER(SEARCH("Ordinance",$L163)),7/6,1) *
IF(OR(ISNUMBER(SEARCH("Melee",$L163)),ISNUMBER(SEARCH("Bypass",$L163))),1.5,1)</f>
        <v>0</v>
      </c>
      <c r="AS163" s="16">
        <f t="shared" si="41"/>
        <v>8.1481481481481488E-2</v>
      </c>
      <c r="AT163" s="16">
        <f t="shared" si="42"/>
        <v>0.12222222222222223</v>
      </c>
      <c r="AU163" s="16">
        <f t="shared" si="43"/>
        <v>0.13999999999999999</v>
      </c>
      <c r="AV163" s="2">
        <v>10</v>
      </c>
    </row>
    <row r="164" spans="1:48" x14ac:dyDescent="0.3">
      <c r="A164" s="30" t="s">
        <v>483</v>
      </c>
      <c r="B164" s="31">
        <v>2</v>
      </c>
      <c r="C164" s="31"/>
      <c r="D164" s="31">
        <v>1</v>
      </c>
      <c r="E164" s="31"/>
      <c r="F164" s="10">
        <v>1</v>
      </c>
      <c r="G164" s="10"/>
      <c r="H164" s="31">
        <v>1</v>
      </c>
      <c r="I164" s="31">
        <v>6</v>
      </c>
      <c r="J164" s="31"/>
      <c r="K164" s="31"/>
      <c r="L164" s="31" t="s">
        <v>217</v>
      </c>
      <c r="M164" s="3" t="s">
        <v>225</v>
      </c>
      <c r="V164" s="16">
        <f t="shared" si="33"/>
        <v>0</v>
      </c>
      <c r="W164" s="16">
        <f t="shared" si="34"/>
        <v>0</v>
      </c>
      <c r="X164" s="17" cm="1">
        <f t="array" ref="X164">$H164 *
IF(ISNUMBER(SEARCH("Rapid",$L164)),7/6,1) *
IF(OR(ISNUMBER(SEARCH("Beam",$L164)),ISNUMBER(SEARCH("Firestorm",$L164))),1, IF(ISNUMBER(SEARCH("Blast",$L164)),(4+$F164+(2-$F164)*0.5)/6*2,(4+$F164)/6)) *
IF(ISNUMBER(SEARCH("Fusion",$L164)), _xlfn.IFS(X$24-$I164 &lt;=1, 9/10, X$24-$I164 &lt;=10,(11-(X$24-$I164))/10, X$24-$I164 &gt;=11, 0),
_xlfn.IFS(X$24-$I164 &lt;=1, 5/6, X$24-$I164 &lt;=5, (7-(X$24-$I164))/6, AND(X$24-$I164 =6,NOT(_xlfn.IFNA(ISNUMBER(SEARCH("Rending",$L164)),FALSE))), (7-(X$24-$I164))/6, AND(X$24-$I164 &gt;=7,NOT(_xlfn.IFNA(ISNUMBER(SEARCH("Rending",$L164)),FALSE))), 0, X$24-$I164 =7, (7-(X$24-1-$I164))/6, X$24-$I164 =8, (7-(X$24-2-$I164))/6*2/3, X$24-$I164 =9, (7-(X$24-3-$I164))/6*1/3, TRUE, 0)) *
IF(ISNUMBER(SEARCH("Ordinance",$L164)),7/6,1) *
IF(OR(ISNUMBER(SEARCH("Melee",$L164)),ISNUMBER(SEARCH("Bypass",$L164))),1.5,1)</f>
        <v>0.83333333333333337</v>
      </c>
      <c r="Y164" s="17" cm="1">
        <f t="array" ref="Y164">$H164 *
IF(ISNUMBER(SEARCH("Rapid",$L164)),7/6,1) *
IF(OR(ISNUMBER(SEARCH("Beam",$L164)),ISNUMBER(SEARCH("Firestorm",$L164))),1, IF(ISNUMBER(SEARCH("Blast",$L164)),(4+$F164+(2-$F164)*0.5)/6*2,(4+$F164)/6)) *
IF(ISNUMBER(SEARCH("Fusion",$L164)), _xlfn.IFS(Y$24-$I164 &lt;=1, 9/10, Y$24-$I164 &lt;=10,(11-(Y$24-$I164))/10, Y$24-$I164 &gt;=11, 0),
_xlfn.IFS(Y$24-$I164 &lt;=1, 5/6, Y$24-$I164 &lt;=5, (7-(Y$24-$I164))/6, AND(Y$24-$I164 =6,NOT(_xlfn.IFNA(ISNUMBER(SEARCH("Rending",$L164)),FALSE))), (7-(Y$24-$I164))/6, AND(Y$24-$I164 &gt;=7,NOT(_xlfn.IFNA(ISNUMBER(SEARCH("Rending",$L164)),FALSE))), 0, Y$24-$I164 =7, (7-(Y$24-1-$I164))/6, Y$24-$I164 =8, (7-(Y$24-2-$I164))/6*2/3, Y$24-$I164 =9, (7-(Y$24-3-$I164))/6*1/3, TRUE, 0)) *
IF(ISNUMBER(SEARCH("Ordinance",$L164)),7/6,1) *
IF(OR(ISNUMBER(SEARCH("Melee",$L164)),ISNUMBER(SEARCH("Bypass",$L164))),1.5,1)</f>
        <v>0.625</v>
      </c>
      <c r="Z164" s="17" cm="1">
        <f t="array" ref="Z164">$H164 *
IF(ISNUMBER(SEARCH("Rapid",$L164)),7/6,1) *
IF(OR(ISNUMBER(SEARCH("Beam",$L164)),ISNUMBER(SEARCH("Firestorm",$L164))),1, IF(ISNUMBER(SEARCH("Blast",$L164)),(4+$F164+(2-$F164)*0.5)/6*2,(4+$F164)/6)) *
IF(ISNUMBER(SEARCH("Fusion",$L164)), _xlfn.IFS(Z$24-$I164 &lt;=1, 9/10, Z$24-$I164 &lt;=10,(11-(Z$24-$I164))/10, Z$24-$I164 &gt;=11, 0),
_xlfn.IFS(Z$24-$I164 &lt;=1, 5/6, Z$24-$I164 &lt;=5, (7-(Z$24-$I164))/6, AND(Z$24-$I164 =6,NOT(_xlfn.IFNA(ISNUMBER(SEARCH("Rending",$L164)),FALSE))), (7-(Z$24-$I164))/6, AND(Z$24-$I164 &gt;=7,NOT(_xlfn.IFNA(ISNUMBER(SEARCH("Rending",$L164)),FALSE))), 0, Z$24-$I164 =7, (7-(Z$24-1-$I164))/6, Z$24-$I164 =8, (7-(Z$24-2-$I164))/6*2/3, Z$24-$I164 =9, (7-(Z$24-3-$I164))/6*1/3, TRUE, 0)) *
IF(ISNUMBER(SEARCH("Ordinance",$L164)),7/6,1) *
IF(OR(ISNUMBER(SEARCH("Melee",$L164)),ISNUMBER(SEARCH("Bypass",$L164))),1.5,1)</f>
        <v>0.41666666666666669</v>
      </c>
      <c r="AA164" s="17" cm="1">
        <f t="array" ref="AA164">$H164 *
IF(ISNUMBER(SEARCH("Rapid",$L164)),7/6,1) *
IF(OR(ISNUMBER(SEARCH("Beam",$L164)),ISNUMBER(SEARCH("Firestorm",$L164))),1, IF(ISNUMBER(SEARCH("Blast",$L164)),(4+$F164+(2-$F164)*0.5)/6*2,(4+$F164)/6)) *
IF(ISNUMBER(SEARCH("Fusion",$L164)), _xlfn.IFS(AA$24-$I164 &lt;=1, 9/10, AA$24-$I164 &lt;=10,(11-(AA$24-$I164))/10, AA$24-$I164 &gt;=11, 0),
_xlfn.IFS(AA$24-$I164 &lt;=1, 5/6, AA$24-$I164 &lt;=5, (7-(AA$24-$I164))/6, AND(AA$24-$I164 =6,NOT(_xlfn.IFNA(ISNUMBER(SEARCH("Rending",$L164)),FALSE))), (7-(AA$24-$I164))/6, AND(AA$24-$I164 &gt;=7,NOT(_xlfn.IFNA(ISNUMBER(SEARCH("Rending",$L164)),FALSE))), 0, AA$24-$I164 =7, (7-(AA$24-1-$I164))/6, AA$24-$I164 =8, (7-(AA$24-2-$I164))/6*2/3, AA$24-$I164 =9, (7-(AA$24-3-$I164))/6*1/3, TRUE, 0)) *
IF(ISNUMBER(SEARCH("Ordinance",$L164)),7/6,1) *
IF(OR(ISNUMBER(SEARCH("Melee",$L164)),ISNUMBER(SEARCH("Bypass",$L164))),1.5,1)</f>
        <v>0</v>
      </c>
      <c r="AB164" s="17" cm="1">
        <f t="array" ref="AB164">$H164 *
IF(ISNUMBER(SEARCH("Rapid",$L164)),7/6,1) *
IF(OR(ISNUMBER(SEARCH("Beam",$L164)),ISNUMBER(SEARCH("Firestorm",$L164))),1, IF(ISNUMBER(SEARCH("Blast",$L164)),(4+$F164+(2-$F164)*0.5)/6*2,(4+$F164)/6)) *
IF(ISNUMBER(SEARCH("Fusion",$L164)), _xlfn.IFS(AB$24-$I164 &lt;=1, 9/10, AB$24-$I164 &lt;=10,(11-(AB$24-$I164))/10, AB$24-$I164 &gt;=11, 0),
_xlfn.IFS(AB$24-$I164 &lt;=1, 5/6, AB$24-$I164 &lt;=5, (7-(AB$24-$I164))/6, AND(AB$24-$I164 =6,NOT(_xlfn.IFNA(ISNUMBER(SEARCH("Rending",$L164)),FALSE))), (7-(AB$24-$I164))/6, AND(AB$24-$I164 &gt;=7,NOT(_xlfn.IFNA(ISNUMBER(SEARCH("Rending",$L164)),FALSE))), 0, AB$24-$I164 =7, (7-(AB$24-1-$I164))/6, AB$24-$I164 =8, (7-(AB$24-2-$I164))/6*2/3, AB$24-$I164 =9, (7-(AB$24-3-$I164))/6*1/3, TRUE, 0)) *
IF(ISNUMBER(SEARCH("Ordinance",$L164)),7/6,1) *
IF(OR(ISNUMBER(SEARCH("Melee",$L164)),ISNUMBER(SEARCH("Bypass",$L164))),1.5,1)</f>
        <v>0.20833333333333334</v>
      </c>
      <c r="AC164" s="17" cm="1">
        <f t="array" ref="AC164">$H164 *
IF(ISNUMBER(SEARCH("Rapid",$L164)),7/6,1) *
IF(OR(ISNUMBER(SEARCH("Beam",$L164)),ISNUMBER(SEARCH("Firestorm",$L164))),1, IF(ISNUMBER(SEARCH("Blast",$L164)),(4+$F164+(2-$F164)*0.5)/6*2,(4+$F164)/6)) *
IF(ISNUMBER(SEARCH("Fusion",$L164)), _xlfn.IFS(AC$24-$I164 &lt;=1, 9/10, AC$24-$I164 &lt;=10,(11-(AC$24-$I164))/10, AC$24-$I164 &gt;=11, 0),
_xlfn.IFS(AC$24-$I164 &lt;=1, 5/6, AC$24-$I164 &lt;=5, (7-(AC$24-$I164))/6, AND(AC$24-$I164 =6,NOT(_xlfn.IFNA(ISNUMBER(SEARCH("Rending",$L164)),FALSE))), (7-(AC$24-$I164))/6, AND(AC$24-$I164 &gt;=7,NOT(_xlfn.IFNA(ISNUMBER(SEARCH("Rending",$L164)),FALSE))), 0, AC$24-$I164 =7, (7-(AC$24-1-$I164))/6, AC$24-$I164 =8, (7-(AC$24-2-$I164))/6*2/3, AC$24-$I164 =9, (7-(AC$24-3-$I164))/6*1/3, TRUE, 0)) *
IF(ISNUMBER(SEARCH("Ordinance",$L164)),7/6,1) *
IF(OR(ISNUMBER(SEARCH("Melee",$L164)),ISNUMBER(SEARCH("Bypass",$L164))),1.5,1)</f>
        <v>0.1388888888888889</v>
      </c>
      <c r="AD164" s="17" cm="1">
        <f t="array" ref="AD164">$H164 *
IF(ISNUMBER(SEARCH("Rapid",$L164)),7/6,1) *
IF(OR(ISNUMBER(SEARCH("Beam",$L164)),ISNUMBER(SEARCH("Firestorm",$L164))),1, IF(ISNUMBER(SEARCH("Blast",$L164)),(4+$F164+(2-$F164)*0.5)/6*2,(4+$F164)/6)) *
IF(ISNUMBER(SEARCH("Fusion",$L164)), _xlfn.IFS(AD$24-$I164 &lt;=1, 9/10, AD$24-$I164 &lt;=10,(11-(AD$24-$I164))/10, AD$24-$I164 &gt;=11, 0),
_xlfn.IFS(AD$24-$I164 &lt;=1, 5/6, AD$24-$I164 &lt;=5, (7-(AD$24-$I164))/6, AND(AD$24-$I164 =6,NOT(_xlfn.IFNA(ISNUMBER(SEARCH("Rending",$L164)),FALSE))), (7-(AD$24-$I164))/6, AND(AD$24-$I164 &gt;=7,NOT(_xlfn.IFNA(ISNUMBER(SEARCH("Rending",$L164)),FALSE))), 0, AD$24-$I164 =7, (7-(AD$24-1-$I164))/6, AD$24-$I164 =8, (7-(AD$24-2-$I164))/6*2/3, AD$24-$I164 =9, (7-(AD$24-3-$I164))/6*1/3, TRUE, 0)) *
IF(ISNUMBER(SEARCH("Ordinance",$L164)),7/6,1) *
IF(OR(ISNUMBER(SEARCH("Melee",$L164)),ISNUMBER(SEARCH("Bypass",$L164))),1.5,1)</f>
        <v>6.9444444444444448E-2</v>
      </c>
      <c r="AE164" s="17" cm="1">
        <f t="array" ref="AE164">$H164 *
IF(ISNUMBER(SEARCH("Rapid",$L164)),7/6,1) *
IF(OR(ISNUMBER(SEARCH("Beam",$L164)),ISNUMBER(SEARCH("Firestorm",$L164))),1, IF(ISNUMBER(SEARCH("Blast",$L164)),(4+$F164+(2-$F164)*0.5)/6*2,(4+$F164)/6)) *
IF(ISNUMBER(SEARCH("Fusion",$L164)), _xlfn.IFS(AE$24-$I164 &lt;=1, 9/10, AE$24-$I164 &lt;=10,(11-(AE$24-$I164))/10, AE$24-$I164 &gt;=11, 0),
_xlfn.IFS(AE$24-$I164 &lt;=1, 5/6, AE$24-$I164 &lt;=5, (7-(AE$24-$I164))/6, AND(AE$24-$I164 =6,NOT(_xlfn.IFNA(ISNUMBER(SEARCH("Rending",$L164)),FALSE))), (7-(AE$24-$I164))/6, AND(AE$24-$I164 &gt;=7,NOT(_xlfn.IFNA(ISNUMBER(SEARCH("Rending",$L164)),FALSE))), 0, AE$24-$I164 =7, (7-(AE$24-1-$I164))/6, AE$24-$I164 =8, (7-(AE$24-2-$I164))/6*2/3, AE$24-$I164 =9, (7-(AE$24-3-$I164))/6*1/3, TRUE, 0)) *
IF(ISNUMBER(SEARCH("Ordinance",$L164)),7/6,1) *
IF(OR(ISNUMBER(SEARCH("Melee",$L164)),ISNUMBER(SEARCH("Bypass",$L164))),1.5,1)</f>
        <v>0</v>
      </c>
      <c r="AF164" s="17" cm="1">
        <f t="array" ref="AF164">$H164 *
IF(ISNUMBER(SEARCH("Rapid",$L164)),7/6,1) *
IF(OR(ISNUMBER(SEARCH("Beam",$L164)),ISNUMBER(SEARCH("Firestorm",$L164))),1, IF(ISNUMBER(SEARCH("Blast",$L164)),(4+$F164+(2-$F164)*0.5)/6*2,(4+$F164)/6)) *
IF(ISNUMBER(SEARCH("Fusion",$L164)), _xlfn.IFS(AF$24-$I164 &lt;=1, 9/10, AF$24-$I164 &lt;=10,(11-(AF$24-$I164))/10, AF$24-$I164 &gt;=11, 0),
_xlfn.IFS(AF$24-$I164 &lt;=1, 5/6, AF$24-$I164 &lt;=5, (7-(AF$24-$I164))/6, AND(AF$24-$I164 =6,NOT(_xlfn.IFNA(ISNUMBER(SEARCH("Rending",$L164)),FALSE))), (7-(AF$24-$I164))/6, AND(AF$24-$I164 &gt;=7,NOT(_xlfn.IFNA(ISNUMBER(SEARCH("Rending",$L164)),FALSE))), 0, AF$24-$I164 =7, (7-(AF$24-1-$I164))/6, AF$24-$I164 =8, (7-(AF$24-2-$I164))/6*2/3, AF$24-$I164 =9, (7-(AF$24-3-$I164))/6*1/3, TRUE, 0)) *
IF(ISNUMBER(SEARCH("Ordinance",$L164)),7/6,1) *
IF(OR(ISNUMBER(SEARCH("Melee",$L164)),ISNUMBER(SEARCH("Bypass",$L164))),1.5,1)</f>
        <v>0</v>
      </c>
      <c r="AG164" s="16">
        <f t="shared" si="35"/>
        <v>0</v>
      </c>
      <c r="AH164" s="16">
        <f t="shared" si="36"/>
        <v>0</v>
      </c>
      <c r="AI164" s="17" cm="1">
        <f t="array" ref="AI164">$H164 *
IF(ISNUMBER(SEARCH("Rapid",$L164)),7/6,1) *
IF(OR(ISNUMBER(SEARCH("Beam",$L164)),ISNUMBER(SEARCH("Firestorm",$L164))),1, IF(ISNUMBER(SEARCH("Blast",$L164)),(4+$G164+(2-$G164)*0.5)/6*2,(4+$G164)/6)) *
_xlfn.IFS(AI$24-$I164 &lt;=1, 5/6, AI$24-$I164 &lt;=5, (7-(AI$24-$I164))/6, AND(AI$24-$I164 =6,NOT(_xlfn.IFNA(ISNUMBER(SEARCH("Rending",$L164)),FALSE))), (7-(AI$24-$I164))/6, AND(AI$24-$I164 &gt;=7,NOT(_xlfn.IFNA(ISNUMBER(SEARCH("Rending",$L164)),FALSE))), 0, AI$24-$I164 =7, (7-(AI$24-1-$I164))/6, AI$24-$I164 =8, (7-(AI$24-2-$I164))/6*2/3, AI$24-$I164 =9, (7-(AI$24-3-$I164))/6*1/3, TRUE, 0) *
IF(ISNUMBER(SEARCH("Ordinance",$L164)),7/6,1) *
IF(OR(ISNUMBER(SEARCH("Melee",$L164)),ISNUMBER(SEARCH("Bypass",$L164))),1.5,1)</f>
        <v>0.66666666666666663</v>
      </c>
      <c r="AJ164" s="17" cm="1">
        <f t="array" ref="AJ164">$H164 *
IF(ISNUMBER(SEARCH("Rapid",$L164)),7/6,1) *
IF(OR(ISNUMBER(SEARCH("Beam",$L164)),ISNUMBER(SEARCH("Firestorm",$L164))),1, IF(ISNUMBER(SEARCH("Blast",$L164)),(4+$G164+(2-$G164)*0.5)/6*2,(4+$G164)/6)) *
_xlfn.IFS(AJ$24-$I164 &lt;=1, 5/6, AJ$24-$I164 &lt;=5, (7-(AJ$24-$I164))/6, AND(AJ$24-$I164 =6,NOT(_xlfn.IFNA(ISNUMBER(SEARCH("Rending",$L164)),FALSE))), (7-(AJ$24-$I164))/6, AND(AJ$24-$I164 &gt;=7,NOT(_xlfn.IFNA(ISNUMBER(SEARCH("Rending",$L164)),FALSE))), 0, AJ$24-$I164 =7, (7-(AJ$24-1-$I164))/6, AJ$24-$I164 =8, (7-(AJ$24-2-$I164))/6*2/3, AJ$24-$I164 =9, (7-(AJ$24-3-$I164))/6*1/3, TRUE, 0) *
IF(ISNUMBER(SEARCH("Ordinance",$L164)),7/6,1) *
IF(OR(ISNUMBER(SEARCH("Melee",$L164)),ISNUMBER(SEARCH("Bypass",$L164))),1.5,1)</f>
        <v>0.5</v>
      </c>
      <c r="AK164" s="17" cm="1">
        <f t="array" ref="AK164">$H164 *
IF(ISNUMBER(SEARCH("Rapid",$L164)),7/6,1) *
IF(OR(ISNUMBER(SEARCH("Beam",$L164)),ISNUMBER(SEARCH("Firestorm",$L164))),1, IF(ISNUMBER(SEARCH("Blast",$L164)),(4+$G164+(2-$G164)*0.5)/6*2,(4+$G164)/6)) *
_xlfn.IFS(AK$24-$I164 &lt;=1, 5/6, AK$24-$I164 &lt;=5, (7-(AK$24-$I164))/6, AND(AK$24-$I164 =6,NOT(_xlfn.IFNA(ISNUMBER(SEARCH("Rending",$L164)),FALSE))), (7-(AK$24-$I164))/6, AND(AK$24-$I164 &gt;=7,NOT(_xlfn.IFNA(ISNUMBER(SEARCH("Rending",$L164)),FALSE))), 0, AK$24-$I164 =7, (7-(AK$24-1-$I164))/6, AK$24-$I164 =8, (7-(AK$24-2-$I164))/6*2/3, AK$24-$I164 =9, (7-(AK$24-3-$I164))/6*1/3, TRUE, 0) *
IF(ISNUMBER(SEARCH("Ordinance",$L164)),7/6,1) *
IF(OR(ISNUMBER(SEARCH("Melee",$L164)),ISNUMBER(SEARCH("Bypass",$L164))),1.5,1)</f>
        <v>0.33333333333333331</v>
      </c>
      <c r="AL164" s="17" cm="1">
        <f t="array" ref="AL164">$H164 *
IF(ISNUMBER(SEARCH("Rapid",$L164)),7/6,1) *
IF(OR(ISNUMBER(SEARCH("Beam",$L164)),ISNUMBER(SEARCH("Firestorm",$L164))),1, IF(ISNUMBER(SEARCH("Blast",$L164)),(4+$G164+(2-$G164)*0.5)/6*2,(4+$G164)/6)) *
_xlfn.IFS(AL$24-$I164 &lt;=1, 5/6, AL$24-$I164 &lt;=5, (7-(AL$24-$I164))/6, AND(AL$24-$I164 =6,NOT(_xlfn.IFNA(ISNUMBER(SEARCH("Rending",$L164)),FALSE))), (7-(AL$24-$I164))/6, AND(AL$24-$I164 &gt;=7,NOT(_xlfn.IFNA(ISNUMBER(SEARCH("Rending",$L164)),FALSE))), 0, AL$24-$I164 =7, (7-(AL$24-1-$I164))/6, AL$24-$I164 =8, (7-(AL$24-2-$I164))/6*2/3, AL$24-$I164 =9, (7-(AL$24-3-$I164))/6*1/3, TRUE, 0) *
IF(ISNUMBER(SEARCH("Ordinance",$L164)),7/6,1) *
IF(OR(ISNUMBER(SEARCH("Melee",$L164)),ISNUMBER(SEARCH("Bypass",$L164))),1.5,1)</f>
        <v>0</v>
      </c>
      <c r="AM164" s="17" cm="1">
        <f t="array" ref="AM164">$H164 *
IF(ISNUMBER(SEARCH("Rapid",$L164)),7/6,1) *
IF(OR(ISNUMBER(SEARCH("Beam",$L164)),ISNUMBER(SEARCH("Firestorm",$L164))),1, IF(ISNUMBER(SEARCH("Blast",$L164)),(4+$G164+(2-$G164)*0.5)/6*2,(4+$G164)/6)) *
_xlfn.IFS(AM$24-$I164 &lt;=1, 5/6, AM$24-$I164 &lt;=5, (7-(AM$24-$I164))/6, AND(AM$24-$I164 =6,NOT(_xlfn.IFNA(ISNUMBER(SEARCH("Rending",$L164)),FALSE))), (7-(AM$24-$I164))/6, AND(AM$24-$I164 &gt;=7,NOT(_xlfn.IFNA(ISNUMBER(SEARCH("Rending",$L164)),FALSE))), 0, AM$24-$I164 =7, (7-(AM$24-1-$I164))/6, AM$24-$I164 =8, (7-(AM$24-2-$I164))/6*2/3, AM$24-$I164 =9, (7-(AM$24-3-$I164))/6*1/3, TRUE, 0) *
IF(ISNUMBER(SEARCH("Ordinance",$L164)),7/6,1) *
IF(OR(ISNUMBER(SEARCH("Melee",$L164)),ISNUMBER(SEARCH("Bypass",$L164))),1.5,1)</f>
        <v>0.16666666666666666</v>
      </c>
      <c r="AN164" s="17" cm="1">
        <f t="array" ref="AN164">$H164 *
IF(ISNUMBER(SEARCH("Rapid",$L164)),7/6,1) *
IF(OR(ISNUMBER(SEARCH("Beam",$L164)),ISNUMBER(SEARCH("Firestorm",$L164))),1, IF(ISNUMBER(SEARCH("Blast",$L164)),(4+$G164+(2-$G164)*0.5)/6*2,(4+$G164)/6)) *
_xlfn.IFS(AN$24-$I164 &lt;=1, 5/6, AN$24-$I164 &lt;=5, (7-(AN$24-$I164))/6, AND(AN$24-$I164 =6,NOT(_xlfn.IFNA(ISNUMBER(SEARCH("Rending",$L164)),FALSE))), (7-(AN$24-$I164))/6, AND(AN$24-$I164 &gt;=7,NOT(_xlfn.IFNA(ISNUMBER(SEARCH("Rending",$L164)),FALSE))), 0, AN$24-$I164 =7, (7-(AN$24-1-$I164))/6, AN$24-$I164 =8, (7-(AN$24-2-$I164))/6*2/3, AN$24-$I164 =9, (7-(AN$24-3-$I164))/6*1/3, TRUE, 0) *
IF(ISNUMBER(SEARCH("Ordinance",$L164)),7/6,1) *
IF(OR(ISNUMBER(SEARCH("Melee",$L164)),ISNUMBER(SEARCH("Bypass",$L164))),1.5,1)</f>
        <v>0.1111111111111111</v>
      </c>
      <c r="AO164" s="17" cm="1">
        <f t="array" ref="AO164">$H164 *
IF(ISNUMBER(SEARCH("Rapid",$L164)),7/6,1) *
IF(OR(ISNUMBER(SEARCH("Beam",$L164)),ISNUMBER(SEARCH("Firestorm",$L164))),1, IF(ISNUMBER(SEARCH("Blast",$L164)),(4+$G164+(2-$G164)*0.5)/6*2,(4+$G164)/6)) *
_xlfn.IFS(AO$24-$I164 &lt;=1, 5/6, AO$24-$I164 &lt;=5, (7-(AO$24-$I164))/6, AND(AO$24-$I164 =6,NOT(_xlfn.IFNA(ISNUMBER(SEARCH("Rending",$L164)),FALSE))), (7-(AO$24-$I164))/6, AND(AO$24-$I164 &gt;=7,NOT(_xlfn.IFNA(ISNUMBER(SEARCH("Rending",$L164)),FALSE))), 0, AO$24-$I164 =7, (7-(AO$24-1-$I164))/6, AO$24-$I164 =8, (7-(AO$24-2-$I164))/6*2/3, AO$24-$I164 =9, (7-(AO$24-3-$I164))/6*1/3, TRUE, 0) *
IF(ISNUMBER(SEARCH("Ordinance",$L164)),7/6,1) *
IF(OR(ISNUMBER(SEARCH("Melee",$L164)),ISNUMBER(SEARCH("Bypass",$L164))),1.5,1)</f>
        <v>5.5555555555555552E-2</v>
      </c>
      <c r="AP164" s="17" cm="1">
        <f t="array" ref="AP164">$H164 *
IF(ISNUMBER(SEARCH("Rapid",$L164)),7/6,1) *
IF(OR(ISNUMBER(SEARCH("Beam",$L164)),ISNUMBER(SEARCH("Firestorm",$L164))),1, IF(ISNUMBER(SEARCH("Blast",$L164)),(4+$G164+(2-$G164)*0.5)/6*2,(4+$G164)/6)) *
_xlfn.IFS(AP$24-$I164 &lt;=1, 5/6, AP$24-$I164 &lt;=5, (7-(AP$24-$I164))/6, AND(AP$24-$I164 =6,NOT(_xlfn.IFNA(ISNUMBER(SEARCH("Rending",$L164)),FALSE))), (7-(AP$24-$I164))/6, AND(AP$24-$I164 &gt;=7,NOT(_xlfn.IFNA(ISNUMBER(SEARCH("Rending",$L164)),FALSE))), 0, AP$24-$I164 =7, (7-(AP$24-1-$I164))/6, AP$24-$I164 =8, (7-(AP$24-2-$I164))/6*2/3, AP$24-$I164 =9, (7-(AP$24-3-$I164))/6*1/3, TRUE, 0) *
IF(ISNUMBER(SEARCH("Ordinance",$L164)),7/6,1) *
IF(OR(ISNUMBER(SEARCH("Melee",$L164)),ISNUMBER(SEARCH("Bypass",$L164))),1.5,1)</f>
        <v>0</v>
      </c>
      <c r="AQ164" s="17" cm="1">
        <f t="array" ref="AQ164">$H164 *
IF(ISNUMBER(SEARCH("Rapid",$L164)),7/6,1) *
IF(OR(ISNUMBER(SEARCH("Beam",$L164)),ISNUMBER(SEARCH("Firestorm",$L164))),1, IF(ISNUMBER(SEARCH("Blast",$L164)),(4+$G164+(2-$G164)*0.5)/6*2,(4+$G164)/6)) *
_xlfn.IFS(AQ$24-$I164 &lt;=1, 5/6, AQ$24-$I164 &lt;=5, (7-(AQ$24-$I164))/6, AND(AQ$24-$I164 =6,NOT(_xlfn.IFNA(ISNUMBER(SEARCH("Rending",$L164)),FALSE))), (7-(AQ$24-$I164))/6, AND(AQ$24-$I164 &gt;=7,NOT(_xlfn.IFNA(ISNUMBER(SEARCH("Rending",$L164)),FALSE))), 0, AQ$24-$I164 =7, (7-(AQ$24-1-$I164))/6, AQ$24-$I164 =8, (7-(AQ$24-2-$I164))/6*2/3, AQ$24-$I164 =9, (7-(AQ$24-3-$I164))/6*1/3, TRUE, 0) *
IF(ISNUMBER(SEARCH("Ordinance",$L164)),7/6,1) *
IF(OR(ISNUMBER(SEARCH("Melee",$L164)),ISNUMBER(SEARCH("Bypass",$L164))),1.5,1)</f>
        <v>0</v>
      </c>
      <c r="AS164" s="16">
        <f t="shared" si="41"/>
        <v>0</v>
      </c>
      <c r="AT164" s="16">
        <f t="shared" si="42"/>
        <v>0</v>
      </c>
      <c r="AU164" s="16">
        <f t="shared" si="43"/>
        <v>0.19444444444444445</v>
      </c>
      <c r="AV164" s="2">
        <v>10</v>
      </c>
    </row>
    <row r="165" spans="1:48" x14ac:dyDescent="0.3">
      <c r="A165" t="s">
        <v>484</v>
      </c>
      <c r="B165" s="3">
        <v>8</v>
      </c>
      <c r="C165" s="3">
        <v>14</v>
      </c>
      <c r="D165" s="3">
        <v>1</v>
      </c>
      <c r="E165" s="3">
        <v>1</v>
      </c>
      <c r="F165" s="10">
        <v>1</v>
      </c>
      <c r="G165" s="10"/>
      <c r="H165" s="3">
        <v>1</v>
      </c>
      <c r="I165" s="3">
        <v>5</v>
      </c>
      <c r="L165" s="3" t="s">
        <v>486</v>
      </c>
      <c r="M165" s="3" t="s">
        <v>225</v>
      </c>
      <c r="V165" s="16">
        <f t="shared" si="33"/>
        <v>0.27777777777777779</v>
      </c>
      <c r="W165" s="16">
        <f t="shared" si="34"/>
        <v>0.41666666666666669</v>
      </c>
      <c r="X165" s="17" cm="1">
        <f t="array" ref="X165">$H165 *
IF(ISNUMBER(SEARCH("Rapid",$L165)),7/6,1) *
IF(OR(ISNUMBER(SEARCH("Beam",$L165)),ISNUMBER(SEARCH("Firestorm",$L165))),1, IF(ISNUMBER(SEARCH("Blast",$L165)),(4+$F165+(2-$F165)*0.5)/6*2,(4+$F165)/6)) *
IF(ISNUMBER(SEARCH("Fusion",$L165)), _xlfn.IFS(X$24-$I165 &lt;=1, 9/10, X$24-$I165 &lt;=10,(11-(X$24-$I165))/10, X$24-$I165 &gt;=11, 0),
_xlfn.IFS(X$24-$I165 &lt;=1, 5/6, X$24-$I165 &lt;=5, (7-(X$24-$I165))/6, AND(X$24-$I165 =6,NOT(_xlfn.IFNA(ISNUMBER(SEARCH("Rending",$L165)),FALSE))), (7-(X$24-$I165))/6, AND(X$24-$I165 &gt;=7,NOT(_xlfn.IFNA(ISNUMBER(SEARCH("Rending",$L165)),FALSE))), 0, X$24-$I165 =7, (7-(X$24-1-$I165))/6, X$24-$I165 =8, (7-(X$24-2-$I165))/6*2/3, X$24-$I165 =9, (7-(X$24-3-$I165))/6*1/3, TRUE, 0)) *
IF(ISNUMBER(SEARCH("Ordinance",$L165)),7/6,1) *
IF(OR(ISNUMBER(SEARCH("Melee",$L165)),ISNUMBER(SEARCH("Bypass",$L165))),1.5,1)</f>
        <v>0.41666666666666669</v>
      </c>
      <c r="Y165" s="17" cm="1">
        <f t="array" ref="Y165">$H165 *
IF(ISNUMBER(SEARCH("Rapid",$L165)),7/6,1) *
IF(OR(ISNUMBER(SEARCH("Beam",$L165)),ISNUMBER(SEARCH("Firestorm",$L165))),1, IF(ISNUMBER(SEARCH("Blast",$L165)),(4+$F165+(2-$F165)*0.5)/6*2,(4+$F165)/6)) *
IF(ISNUMBER(SEARCH("Fusion",$L165)), _xlfn.IFS(Y$24-$I165 &lt;=1, 9/10, Y$24-$I165 &lt;=10,(11-(Y$24-$I165))/10, Y$24-$I165 &gt;=11, 0),
_xlfn.IFS(Y$24-$I165 &lt;=1, 5/6, Y$24-$I165 &lt;=5, (7-(Y$24-$I165))/6, AND(Y$24-$I165 =6,NOT(_xlfn.IFNA(ISNUMBER(SEARCH("Rending",$L165)),FALSE))), (7-(Y$24-$I165))/6, AND(Y$24-$I165 &gt;=7,NOT(_xlfn.IFNA(ISNUMBER(SEARCH("Rending",$L165)),FALSE))), 0, Y$24-$I165 =7, (7-(Y$24-1-$I165))/6, Y$24-$I165 =8, (7-(Y$24-2-$I165))/6*2/3, Y$24-$I165 =9, (7-(Y$24-3-$I165))/6*1/3, TRUE, 0)) *
IF(ISNUMBER(SEARCH("Ordinance",$L165)),7/6,1) *
IF(OR(ISNUMBER(SEARCH("Melee",$L165)),ISNUMBER(SEARCH("Bypass",$L165))),1.5,1)</f>
        <v>0.27777777777777779</v>
      </c>
      <c r="Z165" s="17" cm="1">
        <f t="array" ref="Z165">$H165 *
IF(ISNUMBER(SEARCH("Rapid",$L165)),7/6,1) *
IF(OR(ISNUMBER(SEARCH("Beam",$L165)),ISNUMBER(SEARCH("Firestorm",$L165))),1, IF(ISNUMBER(SEARCH("Blast",$L165)),(4+$F165+(2-$F165)*0.5)/6*2,(4+$F165)/6)) *
IF(ISNUMBER(SEARCH("Fusion",$L165)), _xlfn.IFS(Z$24-$I165 &lt;=1, 9/10, Z$24-$I165 &lt;=10,(11-(Z$24-$I165))/10, Z$24-$I165 &gt;=11, 0),
_xlfn.IFS(Z$24-$I165 &lt;=1, 5/6, Z$24-$I165 &lt;=5, (7-(Z$24-$I165))/6, AND(Z$24-$I165 =6,NOT(_xlfn.IFNA(ISNUMBER(SEARCH("Rending",$L165)),FALSE))), (7-(Z$24-$I165))/6, AND(Z$24-$I165 &gt;=7,NOT(_xlfn.IFNA(ISNUMBER(SEARCH("Rending",$L165)),FALSE))), 0, Z$24-$I165 =7, (7-(Z$24-1-$I165))/6, Z$24-$I165 =8, (7-(Z$24-2-$I165))/6*2/3, Z$24-$I165 =9, (7-(Z$24-3-$I165))/6*1/3, TRUE, 0)) *
IF(ISNUMBER(SEARCH("Ordinance",$L165)),7/6,1) *
IF(OR(ISNUMBER(SEARCH("Melee",$L165)),ISNUMBER(SEARCH("Bypass",$L165))),1.5,1)</f>
        <v>0</v>
      </c>
      <c r="AA165" s="17" cm="1">
        <f t="array" ref="AA165">$H165 *
IF(ISNUMBER(SEARCH("Rapid",$L165)),7/6,1) *
IF(OR(ISNUMBER(SEARCH("Beam",$L165)),ISNUMBER(SEARCH("Firestorm",$L165))),1, IF(ISNUMBER(SEARCH("Blast",$L165)),(4+$F165+(2-$F165)*0.5)/6*2,(4+$F165)/6)) *
IF(ISNUMBER(SEARCH("Fusion",$L165)), _xlfn.IFS(AA$24-$I165 &lt;=1, 9/10, AA$24-$I165 &lt;=10,(11-(AA$24-$I165))/10, AA$24-$I165 &gt;=11, 0),
_xlfn.IFS(AA$24-$I165 &lt;=1, 5/6, AA$24-$I165 &lt;=5, (7-(AA$24-$I165))/6, AND(AA$24-$I165 =6,NOT(_xlfn.IFNA(ISNUMBER(SEARCH("Rending",$L165)),FALSE))), (7-(AA$24-$I165))/6, AND(AA$24-$I165 &gt;=7,NOT(_xlfn.IFNA(ISNUMBER(SEARCH("Rending",$L165)),FALSE))), 0, AA$24-$I165 =7, (7-(AA$24-1-$I165))/6, AA$24-$I165 =8, (7-(AA$24-2-$I165))/6*2/3, AA$24-$I165 =9, (7-(AA$24-3-$I165))/6*1/3, TRUE, 0)) *
IF(ISNUMBER(SEARCH("Ordinance",$L165)),7/6,1) *
IF(OR(ISNUMBER(SEARCH("Melee",$L165)),ISNUMBER(SEARCH("Bypass",$L165))),1.5,1)</f>
        <v>0.1388888888888889</v>
      </c>
      <c r="AB165" s="17" cm="1">
        <f t="array" ref="AB165">$H165 *
IF(ISNUMBER(SEARCH("Rapid",$L165)),7/6,1) *
IF(OR(ISNUMBER(SEARCH("Beam",$L165)),ISNUMBER(SEARCH("Firestorm",$L165))),1, IF(ISNUMBER(SEARCH("Blast",$L165)),(4+$F165+(2-$F165)*0.5)/6*2,(4+$F165)/6)) *
IF(ISNUMBER(SEARCH("Fusion",$L165)), _xlfn.IFS(AB$24-$I165 &lt;=1, 9/10, AB$24-$I165 &lt;=10,(11-(AB$24-$I165))/10, AB$24-$I165 &gt;=11, 0),
_xlfn.IFS(AB$24-$I165 &lt;=1, 5/6, AB$24-$I165 &lt;=5, (7-(AB$24-$I165))/6, AND(AB$24-$I165 =6,NOT(_xlfn.IFNA(ISNUMBER(SEARCH("Rending",$L165)),FALSE))), (7-(AB$24-$I165))/6, AND(AB$24-$I165 &gt;=7,NOT(_xlfn.IFNA(ISNUMBER(SEARCH("Rending",$L165)),FALSE))), 0, AB$24-$I165 =7, (7-(AB$24-1-$I165))/6, AB$24-$I165 =8, (7-(AB$24-2-$I165))/6*2/3, AB$24-$I165 =9, (7-(AB$24-3-$I165))/6*1/3, TRUE, 0)) *
IF(ISNUMBER(SEARCH("Ordinance",$L165)),7/6,1) *
IF(OR(ISNUMBER(SEARCH("Melee",$L165)),ISNUMBER(SEARCH("Bypass",$L165))),1.5,1)</f>
        <v>9.2592592592592587E-2</v>
      </c>
      <c r="AC165" s="17" cm="1">
        <f t="array" ref="AC165">$H165 *
IF(ISNUMBER(SEARCH("Rapid",$L165)),7/6,1) *
IF(OR(ISNUMBER(SEARCH("Beam",$L165)),ISNUMBER(SEARCH("Firestorm",$L165))),1, IF(ISNUMBER(SEARCH("Blast",$L165)),(4+$F165+(2-$F165)*0.5)/6*2,(4+$F165)/6)) *
IF(ISNUMBER(SEARCH("Fusion",$L165)), _xlfn.IFS(AC$24-$I165 &lt;=1, 9/10, AC$24-$I165 &lt;=10,(11-(AC$24-$I165))/10, AC$24-$I165 &gt;=11, 0),
_xlfn.IFS(AC$24-$I165 &lt;=1, 5/6, AC$24-$I165 &lt;=5, (7-(AC$24-$I165))/6, AND(AC$24-$I165 =6,NOT(_xlfn.IFNA(ISNUMBER(SEARCH("Rending",$L165)),FALSE))), (7-(AC$24-$I165))/6, AND(AC$24-$I165 &gt;=7,NOT(_xlfn.IFNA(ISNUMBER(SEARCH("Rending",$L165)),FALSE))), 0, AC$24-$I165 =7, (7-(AC$24-1-$I165))/6, AC$24-$I165 =8, (7-(AC$24-2-$I165))/6*2/3, AC$24-$I165 =9, (7-(AC$24-3-$I165))/6*1/3, TRUE, 0)) *
IF(ISNUMBER(SEARCH("Ordinance",$L165)),7/6,1) *
IF(OR(ISNUMBER(SEARCH("Melee",$L165)),ISNUMBER(SEARCH("Bypass",$L165))),1.5,1)</f>
        <v>4.6296296296296294E-2</v>
      </c>
      <c r="AD165" s="17" cm="1">
        <f t="array" ref="AD165">$H165 *
IF(ISNUMBER(SEARCH("Rapid",$L165)),7/6,1) *
IF(OR(ISNUMBER(SEARCH("Beam",$L165)),ISNUMBER(SEARCH("Firestorm",$L165))),1, IF(ISNUMBER(SEARCH("Blast",$L165)),(4+$F165+(2-$F165)*0.5)/6*2,(4+$F165)/6)) *
IF(ISNUMBER(SEARCH("Fusion",$L165)), _xlfn.IFS(AD$24-$I165 &lt;=1, 9/10, AD$24-$I165 &lt;=10,(11-(AD$24-$I165))/10, AD$24-$I165 &gt;=11, 0),
_xlfn.IFS(AD$24-$I165 &lt;=1, 5/6, AD$24-$I165 &lt;=5, (7-(AD$24-$I165))/6, AND(AD$24-$I165 =6,NOT(_xlfn.IFNA(ISNUMBER(SEARCH("Rending",$L165)),FALSE))), (7-(AD$24-$I165))/6, AND(AD$24-$I165 &gt;=7,NOT(_xlfn.IFNA(ISNUMBER(SEARCH("Rending",$L165)),FALSE))), 0, AD$24-$I165 =7, (7-(AD$24-1-$I165))/6, AD$24-$I165 =8, (7-(AD$24-2-$I165))/6*2/3, AD$24-$I165 =9, (7-(AD$24-3-$I165))/6*1/3, TRUE, 0)) *
IF(ISNUMBER(SEARCH("Ordinance",$L165)),7/6,1) *
IF(OR(ISNUMBER(SEARCH("Melee",$L165)),ISNUMBER(SEARCH("Bypass",$L165))),1.5,1)</f>
        <v>0</v>
      </c>
      <c r="AE165" s="17" cm="1">
        <f t="array" ref="AE165">$H165 *
IF(ISNUMBER(SEARCH("Rapid",$L165)),7/6,1) *
IF(OR(ISNUMBER(SEARCH("Beam",$L165)),ISNUMBER(SEARCH("Firestorm",$L165))),1, IF(ISNUMBER(SEARCH("Blast",$L165)),(4+$F165+(2-$F165)*0.5)/6*2,(4+$F165)/6)) *
IF(ISNUMBER(SEARCH("Fusion",$L165)), _xlfn.IFS(AE$24-$I165 &lt;=1, 9/10, AE$24-$I165 &lt;=10,(11-(AE$24-$I165))/10, AE$24-$I165 &gt;=11, 0),
_xlfn.IFS(AE$24-$I165 &lt;=1, 5/6, AE$24-$I165 &lt;=5, (7-(AE$24-$I165))/6, AND(AE$24-$I165 =6,NOT(_xlfn.IFNA(ISNUMBER(SEARCH("Rending",$L165)),FALSE))), (7-(AE$24-$I165))/6, AND(AE$24-$I165 &gt;=7,NOT(_xlfn.IFNA(ISNUMBER(SEARCH("Rending",$L165)),FALSE))), 0, AE$24-$I165 =7, (7-(AE$24-1-$I165))/6, AE$24-$I165 =8, (7-(AE$24-2-$I165))/6*2/3, AE$24-$I165 =9, (7-(AE$24-3-$I165))/6*1/3, TRUE, 0)) *
IF(ISNUMBER(SEARCH("Ordinance",$L165)),7/6,1) *
IF(OR(ISNUMBER(SEARCH("Melee",$L165)),ISNUMBER(SEARCH("Bypass",$L165))),1.5,1)</f>
        <v>0</v>
      </c>
      <c r="AF165" s="17" cm="1">
        <f t="array" ref="AF165">$H165 *
IF(ISNUMBER(SEARCH("Rapid",$L165)),7/6,1) *
IF(OR(ISNUMBER(SEARCH("Beam",$L165)),ISNUMBER(SEARCH("Firestorm",$L165))),1, IF(ISNUMBER(SEARCH("Blast",$L165)),(4+$F165+(2-$F165)*0.5)/6*2,(4+$F165)/6)) *
IF(ISNUMBER(SEARCH("Fusion",$L165)), _xlfn.IFS(AF$24-$I165 &lt;=1, 9/10, AF$24-$I165 &lt;=10,(11-(AF$24-$I165))/10, AF$24-$I165 &gt;=11, 0),
_xlfn.IFS(AF$24-$I165 &lt;=1, 5/6, AF$24-$I165 &lt;=5, (7-(AF$24-$I165))/6, AND(AF$24-$I165 =6,NOT(_xlfn.IFNA(ISNUMBER(SEARCH("Rending",$L165)),FALSE))), (7-(AF$24-$I165))/6, AND(AF$24-$I165 &gt;=7,NOT(_xlfn.IFNA(ISNUMBER(SEARCH("Rending",$L165)),FALSE))), 0, AF$24-$I165 =7, (7-(AF$24-1-$I165))/6, AF$24-$I165 =8, (7-(AF$24-2-$I165))/6*2/3, AF$24-$I165 =9, (7-(AF$24-3-$I165))/6*1/3, TRUE, 0)) *
IF(ISNUMBER(SEARCH("Ordinance",$L165)),7/6,1) *
IF(OR(ISNUMBER(SEARCH("Melee",$L165)),ISNUMBER(SEARCH("Bypass",$L165))),1.5,1)</f>
        <v>0</v>
      </c>
      <c r="AG165" s="16">
        <f t="shared" si="35"/>
        <v>0.22222222222222221</v>
      </c>
      <c r="AH165" s="16">
        <f t="shared" si="36"/>
        <v>0.33333333333333331</v>
      </c>
      <c r="AI165" s="17" cm="1">
        <f t="array" ref="AI165">$H165 *
IF(ISNUMBER(SEARCH("Rapid",$L165)),7/6,1) *
IF(OR(ISNUMBER(SEARCH("Beam",$L165)),ISNUMBER(SEARCH("Firestorm",$L165))),1, IF(ISNUMBER(SEARCH("Blast",$L165)),(4+$G165+(2-$G165)*0.5)/6*2,(4+$G165)/6)) *
_xlfn.IFS(AI$24-$I165 &lt;=1, 5/6, AI$24-$I165 &lt;=5, (7-(AI$24-$I165))/6, AND(AI$24-$I165 =6,NOT(_xlfn.IFNA(ISNUMBER(SEARCH("Rending",$L165)),FALSE))), (7-(AI$24-$I165))/6, AND(AI$24-$I165 &gt;=7,NOT(_xlfn.IFNA(ISNUMBER(SEARCH("Rending",$L165)),FALSE))), 0, AI$24-$I165 =7, (7-(AI$24-1-$I165))/6, AI$24-$I165 =8, (7-(AI$24-2-$I165))/6*2/3, AI$24-$I165 =9, (7-(AI$24-3-$I165))/6*1/3, TRUE, 0) *
IF(ISNUMBER(SEARCH("Ordinance",$L165)),7/6,1) *
IF(OR(ISNUMBER(SEARCH("Melee",$L165)),ISNUMBER(SEARCH("Bypass",$L165))),1.5,1)</f>
        <v>0.33333333333333331</v>
      </c>
      <c r="AJ165" s="17" cm="1">
        <f t="array" ref="AJ165">$H165 *
IF(ISNUMBER(SEARCH("Rapid",$L165)),7/6,1) *
IF(OR(ISNUMBER(SEARCH("Beam",$L165)),ISNUMBER(SEARCH("Firestorm",$L165))),1, IF(ISNUMBER(SEARCH("Blast",$L165)),(4+$G165+(2-$G165)*0.5)/6*2,(4+$G165)/6)) *
_xlfn.IFS(AJ$24-$I165 &lt;=1, 5/6, AJ$24-$I165 &lt;=5, (7-(AJ$24-$I165))/6, AND(AJ$24-$I165 =6,NOT(_xlfn.IFNA(ISNUMBER(SEARCH("Rending",$L165)),FALSE))), (7-(AJ$24-$I165))/6, AND(AJ$24-$I165 &gt;=7,NOT(_xlfn.IFNA(ISNUMBER(SEARCH("Rending",$L165)),FALSE))), 0, AJ$24-$I165 =7, (7-(AJ$24-1-$I165))/6, AJ$24-$I165 =8, (7-(AJ$24-2-$I165))/6*2/3, AJ$24-$I165 =9, (7-(AJ$24-3-$I165))/6*1/3, TRUE, 0) *
IF(ISNUMBER(SEARCH("Ordinance",$L165)),7/6,1) *
IF(OR(ISNUMBER(SEARCH("Melee",$L165)),ISNUMBER(SEARCH("Bypass",$L165))),1.5,1)</f>
        <v>0.22222222222222221</v>
      </c>
      <c r="AK165" s="17" cm="1">
        <f t="array" ref="AK165">$H165 *
IF(ISNUMBER(SEARCH("Rapid",$L165)),7/6,1) *
IF(OR(ISNUMBER(SEARCH("Beam",$L165)),ISNUMBER(SEARCH("Firestorm",$L165))),1, IF(ISNUMBER(SEARCH("Blast",$L165)),(4+$G165+(2-$G165)*0.5)/6*2,(4+$G165)/6)) *
_xlfn.IFS(AK$24-$I165 &lt;=1, 5/6, AK$24-$I165 &lt;=5, (7-(AK$24-$I165))/6, AND(AK$24-$I165 =6,NOT(_xlfn.IFNA(ISNUMBER(SEARCH("Rending",$L165)),FALSE))), (7-(AK$24-$I165))/6, AND(AK$24-$I165 &gt;=7,NOT(_xlfn.IFNA(ISNUMBER(SEARCH("Rending",$L165)),FALSE))), 0, AK$24-$I165 =7, (7-(AK$24-1-$I165))/6, AK$24-$I165 =8, (7-(AK$24-2-$I165))/6*2/3, AK$24-$I165 =9, (7-(AK$24-3-$I165))/6*1/3, TRUE, 0) *
IF(ISNUMBER(SEARCH("Ordinance",$L165)),7/6,1) *
IF(OR(ISNUMBER(SEARCH("Melee",$L165)),ISNUMBER(SEARCH("Bypass",$L165))),1.5,1)</f>
        <v>0</v>
      </c>
      <c r="AL165" s="17" cm="1">
        <f t="array" ref="AL165">$H165 *
IF(ISNUMBER(SEARCH("Rapid",$L165)),7/6,1) *
IF(OR(ISNUMBER(SEARCH("Beam",$L165)),ISNUMBER(SEARCH("Firestorm",$L165))),1, IF(ISNUMBER(SEARCH("Blast",$L165)),(4+$G165+(2-$G165)*0.5)/6*2,(4+$G165)/6)) *
_xlfn.IFS(AL$24-$I165 &lt;=1, 5/6, AL$24-$I165 &lt;=5, (7-(AL$24-$I165))/6, AND(AL$24-$I165 =6,NOT(_xlfn.IFNA(ISNUMBER(SEARCH("Rending",$L165)),FALSE))), (7-(AL$24-$I165))/6, AND(AL$24-$I165 &gt;=7,NOT(_xlfn.IFNA(ISNUMBER(SEARCH("Rending",$L165)),FALSE))), 0, AL$24-$I165 =7, (7-(AL$24-1-$I165))/6, AL$24-$I165 =8, (7-(AL$24-2-$I165))/6*2/3, AL$24-$I165 =9, (7-(AL$24-3-$I165))/6*1/3, TRUE, 0) *
IF(ISNUMBER(SEARCH("Ordinance",$L165)),7/6,1) *
IF(OR(ISNUMBER(SEARCH("Melee",$L165)),ISNUMBER(SEARCH("Bypass",$L165))),1.5,1)</f>
        <v>0.1111111111111111</v>
      </c>
      <c r="AM165" s="17" cm="1">
        <f t="array" ref="AM165">$H165 *
IF(ISNUMBER(SEARCH("Rapid",$L165)),7/6,1) *
IF(OR(ISNUMBER(SEARCH("Beam",$L165)),ISNUMBER(SEARCH("Firestorm",$L165))),1, IF(ISNUMBER(SEARCH("Blast",$L165)),(4+$G165+(2-$G165)*0.5)/6*2,(4+$G165)/6)) *
_xlfn.IFS(AM$24-$I165 &lt;=1, 5/6, AM$24-$I165 &lt;=5, (7-(AM$24-$I165))/6, AND(AM$24-$I165 =6,NOT(_xlfn.IFNA(ISNUMBER(SEARCH("Rending",$L165)),FALSE))), (7-(AM$24-$I165))/6, AND(AM$24-$I165 &gt;=7,NOT(_xlfn.IFNA(ISNUMBER(SEARCH("Rending",$L165)),FALSE))), 0, AM$24-$I165 =7, (7-(AM$24-1-$I165))/6, AM$24-$I165 =8, (7-(AM$24-2-$I165))/6*2/3, AM$24-$I165 =9, (7-(AM$24-3-$I165))/6*1/3, TRUE, 0) *
IF(ISNUMBER(SEARCH("Ordinance",$L165)),7/6,1) *
IF(OR(ISNUMBER(SEARCH("Melee",$L165)),ISNUMBER(SEARCH("Bypass",$L165))),1.5,1)</f>
        <v>7.407407407407407E-2</v>
      </c>
      <c r="AN165" s="17" cm="1">
        <f t="array" ref="AN165">$H165 *
IF(ISNUMBER(SEARCH("Rapid",$L165)),7/6,1) *
IF(OR(ISNUMBER(SEARCH("Beam",$L165)),ISNUMBER(SEARCH("Firestorm",$L165))),1, IF(ISNUMBER(SEARCH("Blast",$L165)),(4+$G165+(2-$G165)*0.5)/6*2,(4+$G165)/6)) *
_xlfn.IFS(AN$24-$I165 &lt;=1, 5/6, AN$24-$I165 &lt;=5, (7-(AN$24-$I165))/6, AND(AN$24-$I165 =6,NOT(_xlfn.IFNA(ISNUMBER(SEARCH("Rending",$L165)),FALSE))), (7-(AN$24-$I165))/6, AND(AN$24-$I165 &gt;=7,NOT(_xlfn.IFNA(ISNUMBER(SEARCH("Rending",$L165)),FALSE))), 0, AN$24-$I165 =7, (7-(AN$24-1-$I165))/6, AN$24-$I165 =8, (7-(AN$24-2-$I165))/6*2/3, AN$24-$I165 =9, (7-(AN$24-3-$I165))/6*1/3, TRUE, 0) *
IF(ISNUMBER(SEARCH("Ordinance",$L165)),7/6,1) *
IF(OR(ISNUMBER(SEARCH("Melee",$L165)),ISNUMBER(SEARCH("Bypass",$L165))),1.5,1)</f>
        <v>3.7037037037037035E-2</v>
      </c>
      <c r="AO165" s="17" cm="1">
        <f t="array" ref="AO165">$H165 *
IF(ISNUMBER(SEARCH("Rapid",$L165)),7/6,1) *
IF(OR(ISNUMBER(SEARCH("Beam",$L165)),ISNUMBER(SEARCH("Firestorm",$L165))),1, IF(ISNUMBER(SEARCH("Blast",$L165)),(4+$G165+(2-$G165)*0.5)/6*2,(4+$G165)/6)) *
_xlfn.IFS(AO$24-$I165 &lt;=1, 5/6, AO$24-$I165 &lt;=5, (7-(AO$24-$I165))/6, AND(AO$24-$I165 =6,NOT(_xlfn.IFNA(ISNUMBER(SEARCH("Rending",$L165)),FALSE))), (7-(AO$24-$I165))/6, AND(AO$24-$I165 &gt;=7,NOT(_xlfn.IFNA(ISNUMBER(SEARCH("Rending",$L165)),FALSE))), 0, AO$24-$I165 =7, (7-(AO$24-1-$I165))/6, AO$24-$I165 =8, (7-(AO$24-2-$I165))/6*2/3, AO$24-$I165 =9, (7-(AO$24-3-$I165))/6*1/3, TRUE, 0) *
IF(ISNUMBER(SEARCH("Ordinance",$L165)),7/6,1) *
IF(OR(ISNUMBER(SEARCH("Melee",$L165)),ISNUMBER(SEARCH("Bypass",$L165))),1.5,1)</f>
        <v>0</v>
      </c>
      <c r="AP165" s="17" cm="1">
        <f t="array" ref="AP165">$H165 *
IF(ISNUMBER(SEARCH("Rapid",$L165)),7/6,1) *
IF(OR(ISNUMBER(SEARCH("Beam",$L165)),ISNUMBER(SEARCH("Firestorm",$L165))),1, IF(ISNUMBER(SEARCH("Blast",$L165)),(4+$G165+(2-$G165)*0.5)/6*2,(4+$G165)/6)) *
_xlfn.IFS(AP$24-$I165 &lt;=1, 5/6, AP$24-$I165 &lt;=5, (7-(AP$24-$I165))/6, AND(AP$24-$I165 =6,NOT(_xlfn.IFNA(ISNUMBER(SEARCH("Rending",$L165)),FALSE))), (7-(AP$24-$I165))/6, AND(AP$24-$I165 &gt;=7,NOT(_xlfn.IFNA(ISNUMBER(SEARCH("Rending",$L165)),FALSE))), 0, AP$24-$I165 =7, (7-(AP$24-1-$I165))/6, AP$24-$I165 =8, (7-(AP$24-2-$I165))/6*2/3, AP$24-$I165 =9, (7-(AP$24-3-$I165))/6*1/3, TRUE, 0) *
IF(ISNUMBER(SEARCH("Ordinance",$L165)),7/6,1) *
IF(OR(ISNUMBER(SEARCH("Melee",$L165)),ISNUMBER(SEARCH("Bypass",$L165))),1.5,1)</f>
        <v>0</v>
      </c>
      <c r="AQ165" s="17" cm="1">
        <f t="array" ref="AQ165">$H165 *
IF(ISNUMBER(SEARCH("Rapid",$L165)),7/6,1) *
IF(OR(ISNUMBER(SEARCH("Beam",$L165)),ISNUMBER(SEARCH("Firestorm",$L165))),1, IF(ISNUMBER(SEARCH("Blast",$L165)),(4+$G165+(2-$G165)*0.5)/6*2,(4+$G165)/6)) *
_xlfn.IFS(AQ$24-$I165 &lt;=1, 5/6, AQ$24-$I165 &lt;=5, (7-(AQ$24-$I165))/6, AND(AQ$24-$I165 =6,NOT(_xlfn.IFNA(ISNUMBER(SEARCH("Rending",$L165)),FALSE))), (7-(AQ$24-$I165))/6, AND(AQ$24-$I165 &gt;=7,NOT(_xlfn.IFNA(ISNUMBER(SEARCH("Rending",$L165)),FALSE))), 0, AQ$24-$I165 =7, (7-(AQ$24-1-$I165))/6, AQ$24-$I165 =8, (7-(AQ$24-2-$I165))/6*2/3, AQ$24-$I165 =9, (7-(AQ$24-3-$I165))/6*1/3, TRUE, 0) *
IF(ISNUMBER(SEARCH("Ordinance",$L165)),7/6,1) *
IF(OR(ISNUMBER(SEARCH("Melee",$L165)),ISNUMBER(SEARCH("Bypass",$L165))),1.5,1)</f>
        <v>0</v>
      </c>
      <c r="AS165" s="16">
        <f t="shared" si="41"/>
        <v>0.22222222222222221</v>
      </c>
      <c r="AT165" s="16">
        <f t="shared" si="42"/>
        <v>0.33333333333333331</v>
      </c>
      <c r="AU165" s="16">
        <f t="shared" si="43"/>
        <v>0.19166666666666665</v>
      </c>
      <c r="AV165" s="2">
        <v>10</v>
      </c>
    </row>
    <row r="166" spans="1:48" x14ac:dyDescent="0.3">
      <c r="A166" s="32" t="s">
        <v>485</v>
      </c>
      <c r="B166" s="33">
        <v>8</v>
      </c>
      <c r="C166" s="33">
        <v>16</v>
      </c>
      <c r="D166" s="33">
        <v>1</v>
      </c>
      <c r="E166" s="33">
        <v>1</v>
      </c>
      <c r="F166" s="10"/>
      <c r="G166" s="10"/>
      <c r="H166" s="33">
        <v>2</v>
      </c>
      <c r="I166" s="33">
        <v>4</v>
      </c>
      <c r="J166" s="33"/>
      <c r="K166" s="33"/>
      <c r="L166" s="33" t="s">
        <v>487</v>
      </c>
      <c r="M166" s="3" t="s">
        <v>225</v>
      </c>
      <c r="V166" s="16">
        <f t="shared" si="33"/>
        <v>1.0744444444444443</v>
      </c>
      <c r="W166" s="16">
        <f t="shared" si="34"/>
        <v>1.6116666666666666</v>
      </c>
      <c r="X166" s="17" cm="1">
        <f t="array" ref="X166">$H166 *
IF(ISNUMBER(SEARCH("Rapid",$L166)),7/6,1) *
IF(OR(ISNUMBER(SEARCH("Beam",$L166)),ISNUMBER(SEARCH("Firestorm",$L166))),1, IF(ISNUMBER(SEARCH("Blast",$L166)),(4+$F166+(2-$F166)*0.5)/6*2,(4+$F166)/6)) *
IF(ISNUMBER(SEARCH("Fusion",$L166)), _xlfn.IFS(X$24-$I166 &lt;=1, 9/10, X$24-$I166 &lt;=10,(11-(X$24-$I166))/10, X$24-$I166 &gt;=11, 0),
_xlfn.IFS(X$24-$I166 &lt;=1, 5/6, X$24-$I166 &lt;=5, (7-(X$24-$I166))/6, AND(X$24-$I166 =6,NOT(_xlfn.IFNA(ISNUMBER(SEARCH("Rending",$L166)),FALSE))), (7-(X$24-$I166))/6, AND(X$24-$I166 &gt;=7,NOT(_xlfn.IFNA(ISNUMBER(SEARCH("Rending",$L166)),FALSE))), 0, X$24-$I166 =7, (7-(X$24-1-$I166))/6, X$24-$I166 =8, (7-(X$24-2-$I166))/6*2/3, X$24-$I166 =9, (7-(X$24-3-$I166))/6*1/3, TRUE, 0)) *
IF(ISNUMBER(SEARCH("Ordinance",$L166)),7/6,1) *
IF(OR(ISNUMBER(SEARCH("Melee",$L166)),ISNUMBER(SEARCH("Bypass",$L166))),1.5,1)</f>
        <v>0.44444444444444442</v>
      </c>
      <c r="Y166" s="17" cm="1">
        <f t="array" ref="Y166">$H166 *
IF(ISNUMBER(SEARCH("Rapid",$L166)),7/6,1) *
IF(OR(ISNUMBER(SEARCH("Beam",$L166)),ISNUMBER(SEARCH("Firestorm",$L166))),1, IF(ISNUMBER(SEARCH("Blast",$L166)),(4+$F166+(2-$F166)*0.5)/6*2,(4+$F166)/6)) *
IF(ISNUMBER(SEARCH("Fusion",$L166)), _xlfn.IFS(Y$24-$I166 &lt;=1, 9/10, Y$24-$I166 &lt;=10,(11-(Y$24-$I166))/10, Y$24-$I166 &gt;=11, 0),
_xlfn.IFS(Y$24-$I166 &lt;=1, 5/6, Y$24-$I166 &lt;=5, (7-(Y$24-$I166))/6, AND(Y$24-$I166 =6,NOT(_xlfn.IFNA(ISNUMBER(SEARCH("Rending",$L166)),FALSE))), (7-(Y$24-$I166))/6, AND(Y$24-$I166 &gt;=7,NOT(_xlfn.IFNA(ISNUMBER(SEARCH("Rending",$L166)),FALSE))), 0, Y$24-$I166 =7, (7-(Y$24-1-$I166))/6, Y$24-$I166 =8, (7-(Y$24-2-$I166))/6*2/3, Y$24-$I166 =9, (7-(Y$24-3-$I166))/6*1/3, TRUE, 0)) *
IF(ISNUMBER(SEARCH("Ordinance",$L166)),7/6,1) *
IF(OR(ISNUMBER(SEARCH("Melee",$L166)),ISNUMBER(SEARCH("Bypass",$L166))),1.5,1)</f>
        <v>0.22222222222222221</v>
      </c>
      <c r="Z166" s="17" cm="1">
        <f t="array" ref="Z166">$H166 *
IF(ISNUMBER(SEARCH("Rapid",$L166)),7/6,1) *
IF(OR(ISNUMBER(SEARCH("Beam",$L166)),ISNUMBER(SEARCH("Firestorm",$L166))),1, IF(ISNUMBER(SEARCH("Blast",$L166)),(4+$F166+(2-$F166)*0.5)/6*2,(4+$F166)/6)) *
IF(ISNUMBER(SEARCH("Fusion",$L166)), _xlfn.IFS(Z$24-$I166 &lt;=1, 9/10, Z$24-$I166 &lt;=10,(11-(Z$24-$I166))/10, Z$24-$I166 &gt;=11, 0),
_xlfn.IFS(Z$24-$I166 &lt;=1, 5/6, Z$24-$I166 &lt;=5, (7-(Z$24-$I166))/6, AND(Z$24-$I166 =6,NOT(_xlfn.IFNA(ISNUMBER(SEARCH("Rending",$L166)),FALSE))), (7-(Z$24-$I166))/6, AND(Z$24-$I166 &gt;=7,NOT(_xlfn.IFNA(ISNUMBER(SEARCH("Rending",$L166)),FALSE))), 0, Z$24-$I166 =7, (7-(Z$24-1-$I166))/6, Z$24-$I166 =8, (7-(Z$24-2-$I166))/6*2/3, Z$24-$I166 =9, (7-(Z$24-3-$I166))/6*1/3, TRUE, 0)) *
IF(ISNUMBER(SEARCH("Ordinance",$L166)),7/6,1) *
IF(OR(ISNUMBER(SEARCH("Melee",$L166)),ISNUMBER(SEARCH("Bypass",$L166))),1.5,1)</f>
        <v>0</v>
      </c>
      <c r="AA166" s="17" cm="1">
        <f t="array" ref="AA166">$H166 *
IF(ISNUMBER(SEARCH("Rapid",$L166)),7/6,1) *
IF(OR(ISNUMBER(SEARCH("Beam",$L166)),ISNUMBER(SEARCH("Firestorm",$L166))),1, IF(ISNUMBER(SEARCH("Blast",$L166)),(4+$F166+(2-$F166)*0.5)/6*2,(4+$F166)/6)) *
IF(ISNUMBER(SEARCH("Fusion",$L166)), _xlfn.IFS(AA$24-$I166 &lt;=1, 9/10, AA$24-$I166 &lt;=10,(11-(AA$24-$I166))/10, AA$24-$I166 &gt;=11, 0),
_xlfn.IFS(AA$24-$I166 &lt;=1, 5/6, AA$24-$I166 &lt;=5, (7-(AA$24-$I166))/6, AND(AA$24-$I166 =6,NOT(_xlfn.IFNA(ISNUMBER(SEARCH("Rending",$L166)),FALSE))), (7-(AA$24-$I166))/6, AND(AA$24-$I166 &gt;=7,NOT(_xlfn.IFNA(ISNUMBER(SEARCH("Rending",$L166)),FALSE))), 0, AA$24-$I166 =7, (7-(AA$24-1-$I166))/6, AA$24-$I166 =8, (7-(AA$24-2-$I166))/6*2/3, AA$24-$I166 =9, (7-(AA$24-3-$I166))/6*1/3, TRUE, 0)) *
IF(ISNUMBER(SEARCH("Ordinance",$L166)),7/6,1) *
IF(OR(ISNUMBER(SEARCH("Melee",$L166)),ISNUMBER(SEARCH("Bypass",$L166))),1.5,1)</f>
        <v>0</v>
      </c>
      <c r="AB166" s="17" cm="1">
        <f t="array" ref="AB166">$H166 *
IF(ISNUMBER(SEARCH("Rapid",$L166)),7/6,1) *
IF(OR(ISNUMBER(SEARCH("Beam",$L166)),ISNUMBER(SEARCH("Firestorm",$L166))),1, IF(ISNUMBER(SEARCH("Blast",$L166)),(4+$F166+(2-$F166)*0.5)/6*2,(4+$F166)/6)) *
IF(ISNUMBER(SEARCH("Fusion",$L166)), _xlfn.IFS(AB$24-$I166 &lt;=1, 9/10, AB$24-$I166 &lt;=10,(11-(AB$24-$I166))/10, AB$24-$I166 &gt;=11, 0),
_xlfn.IFS(AB$24-$I166 &lt;=1, 5/6, AB$24-$I166 &lt;=5, (7-(AB$24-$I166))/6, AND(AB$24-$I166 =6,NOT(_xlfn.IFNA(ISNUMBER(SEARCH("Rending",$L166)),FALSE))), (7-(AB$24-$I166))/6, AND(AB$24-$I166 &gt;=7,NOT(_xlfn.IFNA(ISNUMBER(SEARCH("Rending",$L166)),FALSE))), 0, AB$24-$I166 =7, (7-(AB$24-1-$I166))/6, AB$24-$I166 =8, (7-(AB$24-2-$I166))/6*2/3, AB$24-$I166 =9, (7-(AB$24-3-$I166))/6*1/3, TRUE, 0)) *
IF(ISNUMBER(SEARCH("Ordinance",$L166)),7/6,1) *
IF(OR(ISNUMBER(SEARCH("Melee",$L166)),ISNUMBER(SEARCH("Bypass",$L166))),1.5,1)</f>
        <v>0</v>
      </c>
      <c r="AC166" s="17" cm="1">
        <f t="array" ref="AC166">$H166 *
IF(ISNUMBER(SEARCH("Rapid",$L166)),7/6,1) *
IF(OR(ISNUMBER(SEARCH("Beam",$L166)),ISNUMBER(SEARCH("Firestorm",$L166))),1, IF(ISNUMBER(SEARCH("Blast",$L166)),(4+$F166+(2-$F166)*0.5)/6*2,(4+$F166)/6)) *
IF(ISNUMBER(SEARCH("Fusion",$L166)), _xlfn.IFS(AC$24-$I166 &lt;=1, 9/10, AC$24-$I166 &lt;=10,(11-(AC$24-$I166))/10, AC$24-$I166 &gt;=11, 0),
_xlfn.IFS(AC$24-$I166 &lt;=1, 5/6, AC$24-$I166 &lt;=5, (7-(AC$24-$I166))/6, AND(AC$24-$I166 =6,NOT(_xlfn.IFNA(ISNUMBER(SEARCH("Rending",$L166)),FALSE))), (7-(AC$24-$I166))/6, AND(AC$24-$I166 &gt;=7,NOT(_xlfn.IFNA(ISNUMBER(SEARCH("Rending",$L166)),FALSE))), 0, AC$24-$I166 =7, (7-(AC$24-1-$I166))/6, AC$24-$I166 =8, (7-(AC$24-2-$I166))/6*2/3, AC$24-$I166 =9, (7-(AC$24-3-$I166))/6*1/3, TRUE, 0)) *
IF(ISNUMBER(SEARCH("Ordinance",$L166)),7/6,1) *
IF(OR(ISNUMBER(SEARCH("Melee",$L166)),ISNUMBER(SEARCH("Bypass",$L166))),1.5,1)</f>
        <v>0</v>
      </c>
      <c r="AD166" s="17" cm="1">
        <f t="array" ref="AD166">$H166 *
IF(ISNUMBER(SEARCH("Rapid",$L166)),7/6,1) *
IF(OR(ISNUMBER(SEARCH("Beam",$L166)),ISNUMBER(SEARCH("Firestorm",$L166))),1, IF(ISNUMBER(SEARCH("Blast",$L166)),(4+$F166+(2-$F166)*0.5)/6*2,(4+$F166)/6)) *
IF(ISNUMBER(SEARCH("Fusion",$L166)), _xlfn.IFS(AD$24-$I166 &lt;=1, 9/10, AD$24-$I166 &lt;=10,(11-(AD$24-$I166))/10, AD$24-$I166 &gt;=11, 0),
_xlfn.IFS(AD$24-$I166 &lt;=1, 5/6, AD$24-$I166 &lt;=5, (7-(AD$24-$I166))/6, AND(AD$24-$I166 =6,NOT(_xlfn.IFNA(ISNUMBER(SEARCH("Rending",$L166)),FALSE))), (7-(AD$24-$I166))/6, AND(AD$24-$I166 &gt;=7,NOT(_xlfn.IFNA(ISNUMBER(SEARCH("Rending",$L166)),FALSE))), 0, AD$24-$I166 =7, (7-(AD$24-1-$I166))/6, AD$24-$I166 =8, (7-(AD$24-2-$I166))/6*2/3, AD$24-$I166 =9, (7-(AD$24-3-$I166))/6*1/3, TRUE, 0)) *
IF(ISNUMBER(SEARCH("Ordinance",$L166)),7/6,1) *
IF(OR(ISNUMBER(SEARCH("Melee",$L166)),ISNUMBER(SEARCH("Bypass",$L166))),1.5,1)</f>
        <v>0</v>
      </c>
      <c r="AE166" s="17" cm="1">
        <f t="array" ref="AE166">$H166 *
IF(ISNUMBER(SEARCH("Rapid",$L166)),7/6,1) *
IF(OR(ISNUMBER(SEARCH("Beam",$L166)),ISNUMBER(SEARCH("Firestorm",$L166))),1, IF(ISNUMBER(SEARCH("Blast",$L166)),(4+$F166+(2-$F166)*0.5)/6*2,(4+$F166)/6)) *
IF(ISNUMBER(SEARCH("Fusion",$L166)), _xlfn.IFS(AE$24-$I166 &lt;=1, 9/10, AE$24-$I166 &lt;=10,(11-(AE$24-$I166))/10, AE$24-$I166 &gt;=11, 0),
_xlfn.IFS(AE$24-$I166 &lt;=1, 5/6, AE$24-$I166 &lt;=5, (7-(AE$24-$I166))/6, AND(AE$24-$I166 =6,NOT(_xlfn.IFNA(ISNUMBER(SEARCH("Rending",$L166)),FALSE))), (7-(AE$24-$I166))/6, AND(AE$24-$I166 &gt;=7,NOT(_xlfn.IFNA(ISNUMBER(SEARCH("Rending",$L166)),FALSE))), 0, AE$24-$I166 =7, (7-(AE$24-1-$I166))/6, AE$24-$I166 =8, (7-(AE$24-2-$I166))/6*2/3, AE$24-$I166 =9, (7-(AE$24-3-$I166))/6*1/3, TRUE, 0)) *
IF(ISNUMBER(SEARCH("Ordinance",$L166)),7/6,1) *
IF(OR(ISNUMBER(SEARCH("Melee",$L166)),ISNUMBER(SEARCH("Bypass",$L166))),1.5,1)</f>
        <v>0</v>
      </c>
      <c r="AF166" s="17" cm="1">
        <f t="array" ref="AF166">$H166 *
IF(ISNUMBER(SEARCH("Rapid",$L166)),7/6,1) *
IF(OR(ISNUMBER(SEARCH("Beam",$L166)),ISNUMBER(SEARCH("Firestorm",$L166))),1, IF(ISNUMBER(SEARCH("Blast",$L166)),(4+$F166+(2-$F166)*0.5)/6*2,(4+$F166)/6)) *
IF(ISNUMBER(SEARCH("Fusion",$L166)), _xlfn.IFS(AF$24-$I166 &lt;=1, 9/10, AF$24-$I166 &lt;=10,(11-(AF$24-$I166))/10, AF$24-$I166 &gt;=11, 0),
_xlfn.IFS(AF$24-$I166 &lt;=1, 5/6, AF$24-$I166 &lt;=5, (7-(AF$24-$I166))/6, AND(AF$24-$I166 =6,NOT(_xlfn.IFNA(ISNUMBER(SEARCH("Rending",$L166)),FALSE))), (7-(AF$24-$I166))/6, AND(AF$24-$I166 &gt;=7,NOT(_xlfn.IFNA(ISNUMBER(SEARCH("Rending",$L166)),FALSE))), 0, AF$24-$I166 =7, (7-(AF$24-1-$I166))/6, AF$24-$I166 =8, (7-(AF$24-2-$I166))/6*2/3, AF$24-$I166 =9, (7-(AF$24-3-$I166))/6*1/3, TRUE, 0)) *
IF(ISNUMBER(SEARCH("Ordinance",$L166)),7/6,1) *
IF(OR(ISNUMBER(SEARCH("Melee",$L166)),ISNUMBER(SEARCH("Bypass",$L166))),1.5,1)</f>
        <v>0</v>
      </c>
      <c r="AG166" s="16">
        <f t="shared" si="35"/>
        <v>1.0744444444444443</v>
      </c>
      <c r="AH166" s="16">
        <f t="shared" si="36"/>
        <v>1.6116666666666666</v>
      </c>
      <c r="AI166" s="17" cm="1">
        <f t="array" ref="AI166">$H166 *
IF(ISNUMBER(SEARCH("Rapid",$L166)),7/6,1) *
IF(OR(ISNUMBER(SEARCH("Beam",$L166)),ISNUMBER(SEARCH("Firestorm",$L166))),1, IF(ISNUMBER(SEARCH("Blast",$L166)),(4+$G166+(2-$G166)*0.5)/6*2,(4+$G166)/6)) *
_xlfn.IFS(AI$24-$I166 &lt;=1, 5/6, AI$24-$I166 &lt;=5, (7-(AI$24-$I166))/6, AND(AI$24-$I166 =6,NOT(_xlfn.IFNA(ISNUMBER(SEARCH("Rending",$L166)),FALSE))), (7-(AI$24-$I166))/6, AND(AI$24-$I166 &gt;=7,NOT(_xlfn.IFNA(ISNUMBER(SEARCH("Rending",$L166)),FALSE))), 0, AI$24-$I166 =7, (7-(AI$24-1-$I166))/6, AI$24-$I166 =8, (7-(AI$24-2-$I166))/6*2/3, AI$24-$I166 =9, (7-(AI$24-3-$I166))/6*1/3, TRUE, 0) *
IF(ISNUMBER(SEARCH("Ordinance",$L166)),7/6,1) *
IF(OR(ISNUMBER(SEARCH("Melee",$L166)),ISNUMBER(SEARCH("Bypass",$L166))),1.5,1)</f>
        <v>0.44444444444444442</v>
      </c>
      <c r="AJ166" s="17" cm="1">
        <f t="array" ref="AJ166">$H166 *
IF(ISNUMBER(SEARCH("Rapid",$L166)),7/6,1) *
IF(OR(ISNUMBER(SEARCH("Beam",$L166)),ISNUMBER(SEARCH("Firestorm",$L166))),1, IF(ISNUMBER(SEARCH("Blast",$L166)),(4+$G166+(2-$G166)*0.5)/6*2,(4+$G166)/6)) *
_xlfn.IFS(AJ$24-$I166 &lt;=1, 5/6, AJ$24-$I166 &lt;=5, (7-(AJ$24-$I166))/6, AND(AJ$24-$I166 =6,NOT(_xlfn.IFNA(ISNUMBER(SEARCH("Rending",$L166)),FALSE))), (7-(AJ$24-$I166))/6, AND(AJ$24-$I166 &gt;=7,NOT(_xlfn.IFNA(ISNUMBER(SEARCH("Rending",$L166)),FALSE))), 0, AJ$24-$I166 =7, (7-(AJ$24-1-$I166))/6, AJ$24-$I166 =8, (7-(AJ$24-2-$I166))/6*2/3, AJ$24-$I166 =9, (7-(AJ$24-3-$I166))/6*1/3, TRUE, 0) *
IF(ISNUMBER(SEARCH("Ordinance",$L166)),7/6,1) *
IF(OR(ISNUMBER(SEARCH("Melee",$L166)),ISNUMBER(SEARCH("Bypass",$L166))),1.5,1)</f>
        <v>0.22222222222222221</v>
      </c>
      <c r="AK166" s="17" cm="1">
        <f t="array" ref="AK166">$H166 *
IF(ISNUMBER(SEARCH("Rapid",$L166)),7/6,1) *
IF(OR(ISNUMBER(SEARCH("Beam",$L166)),ISNUMBER(SEARCH("Firestorm",$L166))),1, IF(ISNUMBER(SEARCH("Blast",$L166)),(4+$G166+(2-$G166)*0.5)/6*2,(4+$G166)/6)) *
_xlfn.IFS(AK$24-$I166 &lt;=1, 5/6, AK$24-$I166 &lt;=5, (7-(AK$24-$I166))/6, AND(AK$24-$I166 =6,NOT(_xlfn.IFNA(ISNUMBER(SEARCH("Rending",$L166)),FALSE))), (7-(AK$24-$I166))/6, AND(AK$24-$I166 &gt;=7,NOT(_xlfn.IFNA(ISNUMBER(SEARCH("Rending",$L166)),FALSE))), 0, AK$24-$I166 =7, (7-(AK$24-1-$I166))/6, AK$24-$I166 =8, (7-(AK$24-2-$I166))/6*2/3, AK$24-$I166 =9, (7-(AK$24-3-$I166))/6*1/3, TRUE, 0) *
IF(ISNUMBER(SEARCH("Ordinance",$L166)),7/6,1) *
IF(OR(ISNUMBER(SEARCH("Melee",$L166)),ISNUMBER(SEARCH("Bypass",$L166))),1.5,1)</f>
        <v>0</v>
      </c>
      <c r="AL166" s="17" cm="1">
        <f t="array" ref="AL166">$H166 *
IF(ISNUMBER(SEARCH("Rapid",$L166)),7/6,1) *
IF(OR(ISNUMBER(SEARCH("Beam",$L166)),ISNUMBER(SEARCH("Firestorm",$L166))),1, IF(ISNUMBER(SEARCH("Blast",$L166)),(4+$G166+(2-$G166)*0.5)/6*2,(4+$G166)/6)) *
_xlfn.IFS(AL$24-$I166 &lt;=1, 5/6, AL$24-$I166 &lt;=5, (7-(AL$24-$I166))/6, AND(AL$24-$I166 =6,NOT(_xlfn.IFNA(ISNUMBER(SEARCH("Rending",$L166)),FALSE))), (7-(AL$24-$I166))/6, AND(AL$24-$I166 &gt;=7,NOT(_xlfn.IFNA(ISNUMBER(SEARCH("Rending",$L166)),FALSE))), 0, AL$24-$I166 =7, (7-(AL$24-1-$I166))/6, AL$24-$I166 =8, (7-(AL$24-2-$I166))/6*2/3, AL$24-$I166 =9, (7-(AL$24-3-$I166))/6*1/3, TRUE, 0) *
IF(ISNUMBER(SEARCH("Ordinance",$L166)),7/6,1) *
IF(OR(ISNUMBER(SEARCH("Melee",$L166)),ISNUMBER(SEARCH("Bypass",$L166))),1.5,1)</f>
        <v>0</v>
      </c>
      <c r="AM166" s="17" cm="1">
        <f t="array" ref="AM166">$H166 *
IF(ISNUMBER(SEARCH("Rapid",$L166)),7/6,1) *
IF(OR(ISNUMBER(SEARCH("Beam",$L166)),ISNUMBER(SEARCH("Firestorm",$L166))),1, IF(ISNUMBER(SEARCH("Blast",$L166)),(4+$G166+(2-$G166)*0.5)/6*2,(4+$G166)/6)) *
_xlfn.IFS(AM$24-$I166 &lt;=1, 5/6, AM$24-$I166 &lt;=5, (7-(AM$24-$I166))/6, AND(AM$24-$I166 =6,NOT(_xlfn.IFNA(ISNUMBER(SEARCH("Rending",$L166)),FALSE))), (7-(AM$24-$I166))/6, AND(AM$24-$I166 &gt;=7,NOT(_xlfn.IFNA(ISNUMBER(SEARCH("Rending",$L166)),FALSE))), 0, AM$24-$I166 =7, (7-(AM$24-1-$I166))/6, AM$24-$I166 =8, (7-(AM$24-2-$I166))/6*2/3, AM$24-$I166 =9, (7-(AM$24-3-$I166))/6*1/3, TRUE, 0) *
IF(ISNUMBER(SEARCH("Ordinance",$L166)),7/6,1) *
IF(OR(ISNUMBER(SEARCH("Melee",$L166)),ISNUMBER(SEARCH("Bypass",$L166))),1.5,1)</f>
        <v>0</v>
      </c>
      <c r="AN166" s="17" cm="1">
        <f t="array" ref="AN166">$H166 *
IF(ISNUMBER(SEARCH("Rapid",$L166)),7/6,1) *
IF(OR(ISNUMBER(SEARCH("Beam",$L166)),ISNUMBER(SEARCH("Firestorm",$L166))),1, IF(ISNUMBER(SEARCH("Blast",$L166)),(4+$G166+(2-$G166)*0.5)/6*2,(4+$G166)/6)) *
_xlfn.IFS(AN$24-$I166 &lt;=1, 5/6, AN$24-$I166 &lt;=5, (7-(AN$24-$I166))/6, AND(AN$24-$I166 =6,NOT(_xlfn.IFNA(ISNUMBER(SEARCH("Rending",$L166)),FALSE))), (7-(AN$24-$I166))/6, AND(AN$24-$I166 &gt;=7,NOT(_xlfn.IFNA(ISNUMBER(SEARCH("Rending",$L166)),FALSE))), 0, AN$24-$I166 =7, (7-(AN$24-1-$I166))/6, AN$24-$I166 =8, (7-(AN$24-2-$I166))/6*2/3, AN$24-$I166 =9, (7-(AN$24-3-$I166))/6*1/3, TRUE, 0) *
IF(ISNUMBER(SEARCH("Ordinance",$L166)),7/6,1) *
IF(OR(ISNUMBER(SEARCH("Melee",$L166)),ISNUMBER(SEARCH("Bypass",$L166))),1.5,1)</f>
        <v>0</v>
      </c>
      <c r="AO166" s="17" cm="1">
        <f t="array" ref="AO166">$H166 *
IF(ISNUMBER(SEARCH("Rapid",$L166)),7/6,1) *
IF(OR(ISNUMBER(SEARCH("Beam",$L166)),ISNUMBER(SEARCH("Firestorm",$L166))),1, IF(ISNUMBER(SEARCH("Blast",$L166)),(4+$G166+(2-$G166)*0.5)/6*2,(4+$G166)/6)) *
_xlfn.IFS(AO$24-$I166 &lt;=1, 5/6, AO$24-$I166 &lt;=5, (7-(AO$24-$I166))/6, AND(AO$24-$I166 =6,NOT(_xlfn.IFNA(ISNUMBER(SEARCH("Rending",$L166)),FALSE))), (7-(AO$24-$I166))/6, AND(AO$24-$I166 &gt;=7,NOT(_xlfn.IFNA(ISNUMBER(SEARCH("Rending",$L166)),FALSE))), 0, AO$24-$I166 =7, (7-(AO$24-1-$I166))/6, AO$24-$I166 =8, (7-(AO$24-2-$I166))/6*2/3, AO$24-$I166 =9, (7-(AO$24-3-$I166))/6*1/3, TRUE, 0) *
IF(ISNUMBER(SEARCH("Ordinance",$L166)),7/6,1) *
IF(OR(ISNUMBER(SEARCH("Melee",$L166)),ISNUMBER(SEARCH("Bypass",$L166))),1.5,1)</f>
        <v>0</v>
      </c>
      <c r="AP166" s="17" cm="1">
        <f t="array" ref="AP166">$H166 *
IF(ISNUMBER(SEARCH("Rapid",$L166)),7/6,1) *
IF(OR(ISNUMBER(SEARCH("Beam",$L166)),ISNUMBER(SEARCH("Firestorm",$L166))),1, IF(ISNUMBER(SEARCH("Blast",$L166)),(4+$G166+(2-$G166)*0.5)/6*2,(4+$G166)/6)) *
_xlfn.IFS(AP$24-$I166 &lt;=1, 5/6, AP$24-$I166 &lt;=5, (7-(AP$24-$I166))/6, AND(AP$24-$I166 =6,NOT(_xlfn.IFNA(ISNUMBER(SEARCH("Rending",$L166)),FALSE))), (7-(AP$24-$I166))/6, AND(AP$24-$I166 &gt;=7,NOT(_xlfn.IFNA(ISNUMBER(SEARCH("Rending",$L166)),FALSE))), 0, AP$24-$I166 =7, (7-(AP$24-1-$I166))/6, AP$24-$I166 =8, (7-(AP$24-2-$I166))/6*2/3, AP$24-$I166 =9, (7-(AP$24-3-$I166))/6*1/3, TRUE, 0) *
IF(ISNUMBER(SEARCH("Ordinance",$L166)),7/6,1) *
IF(OR(ISNUMBER(SEARCH("Melee",$L166)),ISNUMBER(SEARCH("Bypass",$L166))),1.5,1)</f>
        <v>0</v>
      </c>
      <c r="AQ166" s="17" cm="1">
        <f t="array" ref="AQ166">$H166 *
IF(ISNUMBER(SEARCH("Rapid",$L166)),7/6,1) *
IF(OR(ISNUMBER(SEARCH("Beam",$L166)),ISNUMBER(SEARCH("Firestorm",$L166))),1, IF(ISNUMBER(SEARCH("Blast",$L166)),(4+$G166+(2-$G166)*0.5)/6*2,(4+$G166)/6)) *
_xlfn.IFS(AQ$24-$I166 &lt;=1, 5/6, AQ$24-$I166 &lt;=5, (7-(AQ$24-$I166))/6, AND(AQ$24-$I166 =6,NOT(_xlfn.IFNA(ISNUMBER(SEARCH("Rending",$L166)),FALSE))), (7-(AQ$24-$I166))/6, AND(AQ$24-$I166 &gt;=7,NOT(_xlfn.IFNA(ISNUMBER(SEARCH("Rending",$L166)),FALSE))), 0, AQ$24-$I166 =7, (7-(AQ$24-1-$I166))/6, AQ$24-$I166 =8, (7-(AQ$24-2-$I166))/6*2/3, AQ$24-$I166 =9, (7-(AQ$24-3-$I166))/6*1/3, TRUE, 0) *
IF(ISNUMBER(SEARCH("Ordinance",$L166)),7/6,1) *
IF(OR(ISNUMBER(SEARCH("Melee",$L166)),ISNUMBER(SEARCH("Bypass",$L166))),1.5,1)</f>
        <v>0</v>
      </c>
      <c r="AS166" s="16">
        <f t="shared" si="41"/>
        <v>1.0744444444444443</v>
      </c>
      <c r="AT166" s="16">
        <f t="shared" si="42"/>
        <v>1.6116666666666666</v>
      </c>
      <c r="AU166" s="16">
        <f t="shared" si="43"/>
        <v>0.22962962962962963</v>
      </c>
      <c r="AV166" s="2">
        <v>10</v>
      </c>
    </row>
    <row r="167" spans="1:48" x14ac:dyDescent="0.3">
      <c r="A167" s="30" t="s">
        <v>475</v>
      </c>
      <c r="B167" s="31">
        <v>8</v>
      </c>
      <c r="C167" s="31">
        <v>24</v>
      </c>
      <c r="D167" s="31">
        <v>1</v>
      </c>
      <c r="E167" s="31">
        <v>1</v>
      </c>
      <c r="F167" s="10">
        <v>1</v>
      </c>
      <c r="G167" s="10"/>
      <c r="H167" s="31">
        <v>8</v>
      </c>
      <c r="I167" s="31">
        <v>3</v>
      </c>
      <c r="J167" s="31"/>
      <c r="K167" s="31">
        <v>5</v>
      </c>
      <c r="L167" s="31" t="s">
        <v>480</v>
      </c>
      <c r="M167" s="3" t="s">
        <v>225</v>
      </c>
      <c r="V167" s="16">
        <f t="shared" si="33"/>
        <v>2.5925925925925926</v>
      </c>
      <c r="W167" s="16">
        <f t="shared" si="34"/>
        <v>3.8888888888888893</v>
      </c>
      <c r="X167" s="17" cm="1">
        <f t="array" ref="X167">$H167 *
IF(ISNUMBER(SEARCH("Rapid",$L167)),7/6,1) *
IF(OR(ISNUMBER(SEARCH("Beam",$L167)),ISNUMBER(SEARCH("Firestorm",$L167))),1, IF(ISNUMBER(SEARCH("Blast",$L167)),(4+$F167+(2-$F167)*0.5)/6*2,(4+$F167)/6)) *
IF(ISNUMBER(SEARCH("Fusion",$L167)), _xlfn.IFS(X$24-$I167 &lt;=1, 9/10, X$24-$I167 &lt;=10,(11-(X$24-$I167))/10, X$24-$I167 &gt;=11, 0),
_xlfn.IFS(X$24-$I167 &lt;=1, 5/6, X$24-$I167 &lt;=5, (7-(X$24-$I167))/6, AND(X$24-$I167 =6,NOT(_xlfn.IFNA(ISNUMBER(SEARCH("Rending",$L167)),FALSE))), (7-(X$24-$I167))/6, AND(X$24-$I167 &gt;=7,NOT(_xlfn.IFNA(ISNUMBER(SEARCH("Rending",$L167)),FALSE))), 0, X$24-$I167 =7, (7-(X$24-1-$I167))/6, X$24-$I167 =8, (7-(X$24-2-$I167))/6*2/3, X$24-$I167 =9, (7-(X$24-3-$I167))/6*1/3, TRUE, 0)) *
IF(ISNUMBER(SEARCH("Ordinance",$L167)),7/6,1) *
IF(OR(ISNUMBER(SEARCH("Melee",$L167)),ISNUMBER(SEARCH("Bypass",$L167))),1.5,1)</f>
        <v>1.2962962962962963</v>
      </c>
      <c r="Y167" s="17" cm="1">
        <f t="array" ref="Y167">$H167 *
IF(ISNUMBER(SEARCH("Rapid",$L167)),7/6,1) *
IF(OR(ISNUMBER(SEARCH("Beam",$L167)),ISNUMBER(SEARCH("Firestorm",$L167))),1, IF(ISNUMBER(SEARCH("Blast",$L167)),(4+$F167+(2-$F167)*0.5)/6*2,(4+$F167)/6)) *
IF(ISNUMBER(SEARCH("Fusion",$L167)), _xlfn.IFS(Y$24-$I167 &lt;=1, 9/10, Y$24-$I167 &lt;=10,(11-(Y$24-$I167))/10, Y$24-$I167 &gt;=11, 0),
_xlfn.IFS(Y$24-$I167 &lt;=1, 5/6, Y$24-$I167 &lt;=5, (7-(Y$24-$I167))/6, AND(Y$24-$I167 =6,NOT(_xlfn.IFNA(ISNUMBER(SEARCH("Rending",$L167)),FALSE))), (7-(Y$24-$I167))/6, AND(Y$24-$I167 &gt;=7,NOT(_xlfn.IFNA(ISNUMBER(SEARCH("Rending",$L167)),FALSE))), 0, Y$24-$I167 =7, (7-(Y$24-1-$I167))/6, Y$24-$I167 =8, (7-(Y$24-2-$I167))/6*2/3, Y$24-$I167 =9, (7-(Y$24-3-$I167))/6*1/3, TRUE, 0)) *
IF(ISNUMBER(SEARCH("Ordinance",$L167)),7/6,1) *
IF(OR(ISNUMBER(SEARCH("Melee",$L167)),ISNUMBER(SEARCH("Bypass",$L167))),1.5,1)</f>
        <v>0</v>
      </c>
      <c r="Z167" s="17" cm="1">
        <f t="array" ref="Z167">$H167 *
IF(ISNUMBER(SEARCH("Rapid",$L167)),7/6,1) *
IF(OR(ISNUMBER(SEARCH("Beam",$L167)),ISNUMBER(SEARCH("Firestorm",$L167))),1, IF(ISNUMBER(SEARCH("Blast",$L167)),(4+$F167+(2-$F167)*0.5)/6*2,(4+$F167)/6)) *
IF(ISNUMBER(SEARCH("Fusion",$L167)), _xlfn.IFS(Z$24-$I167 &lt;=1, 9/10, Z$24-$I167 &lt;=10,(11-(Z$24-$I167))/10, Z$24-$I167 &gt;=11, 0),
_xlfn.IFS(Z$24-$I167 &lt;=1, 5/6, Z$24-$I167 &lt;=5, (7-(Z$24-$I167))/6, AND(Z$24-$I167 =6,NOT(_xlfn.IFNA(ISNUMBER(SEARCH("Rending",$L167)),FALSE))), (7-(Z$24-$I167))/6, AND(Z$24-$I167 &gt;=7,NOT(_xlfn.IFNA(ISNUMBER(SEARCH("Rending",$L167)),FALSE))), 0, Z$24-$I167 =7, (7-(Z$24-1-$I167))/6, Z$24-$I167 =8, (7-(Z$24-2-$I167))/6*2/3, Z$24-$I167 =9, (7-(Z$24-3-$I167))/6*1/3, TRUE, 0)) *
IF(ISNUMBER(SEARCH("Ordinance",$L167)),7/6,1) *
IF(OR(ISNUMBER(SEARCH("Melee",$L167)),ISNUMBER(SEARCH("Bypass",$L167))),1.5,1)</f>
        <v>0</v>
      </c>
      <c r="AA167" s="17" cm="1">
        <f t="array" ref="AA167">$H167 *
IF(ISNUMBER(SEARCH("Rapid",$L167)),7/6,1) *
IF(OR(ISNUMBER(SEARCH("Beam",$L167)),ISNUMBER(SEARCH("Firestorm",$L167))),1, IF(ISNUMBER(SEARCH("Blast",$L167)),(4+$F167+(2-$F167)*0.5)/6*2,(4+$F167)/6)) *
IF(ISNUMBER(SEARCH("Fusion",$L167)), _xlfn.IFS(AA$24-$I167 &lt;=1, 9/10, AA$24-$I167 &lt;=10,(11-(AA$24-$I167))/10, AA$24-$I167 &gt;=11, 0),
_xlfn.IFS(AA$24-$I167 &lt;=1, 5/6, AA$24-$I167 &lt;=5, (7-(AA$24-$I167))/6, AND(AA$24-$I167 =6,NOT(_xlfn.IFNA(ISNUMBER(SEARCH("Rending",$L167)),FALSE))), (7-(AA$24-$I167))/6, AND(AA$24-$I167 &gt;=7,NOT(_xlfn.IFNA(ISNUMBER(SEARCH("Rending",$L167)),FALSE))), 0, AA$24-$I167 =7, (7-(AA$24-1-$I167))/6, AA$24-$I167 =8, (7-(AA$24-2-$I167))/6*2/3, AA$24-$I167 =9, (7-(AA$24-3-$I167))/6*1/3, TRUE, 0)) *
IF(ISNUMBER(SEARCH("Ordinance",$L167)),7/6,1) *
IF(OR(ISNUMBER(SEARCH("Melee",$L167)),ISNUMBER(SEARCH("Bypass",$L167))),1.5,1)</f>
        <v>0</v>
      </c>
      <c r="AB167" s="17" cm="1">
        <f t="array" ref="AB167">$H167 *
IF(ISNUMBER(SEARCH("Rapid",$L167)),7/6,1) *
IF(OR(ISNUMBER(SEARCH("Beam",$L167)),ISNUMBER(SEARCH("Firestorm",$L167))),1, IF(ISNUMBER(SEARCH("Blast",$L167)),(4+$F167+(2-$F167)*0.5)/6*2,(4+$F167)/6)) *
IF(ISNUMBER(SEARCH("Fusion",$L167)), _xlfn.IFS(AB$24-$I167 &lt;=1, 9/10, AB$24-$I167 &lt;=10,(11-(AB$24-$I167))/10, AB$24-$I167 &gt;=11, 0),
_xlfn.IFS(AB$24-$I167 &lt;=1, 5/6, AB$24-$I167 &lt;=5, (7-(AB$24-$I167))/6, AND(AB$24-$I167 =6,NOT(_xlfn.IFNA(ISNUMBER(SEARCH("Rending",$L167)),FALSE))), (7-(AB$24-$I167))/6, AND(AB$24-$I167 &gt;=7,NOT(_xlfn.IFNA(ISNUMBER(SEARCH("Rending",$L167)),FALSE))), 0, AB$24-$I167 =7, (7-(AB$24-1-$I167))/6, AB$24-$I167 =8, (7-(AB$24-2-$I167))/6*2/3, AB$24-$I167 =9, (7-(AB$24-3-$I167))/6*1/3, TRUE, 0)) *
IF(ISNUMBER(SEARCH("Ordinance",$L167)),7/6,1) *
IF(OR(ISNUMBER(SEARCH("Melee",$L167)),ISNUMBER(SEARCH("Bypass",$L167))),1.5,1)</f>
        <v>0</v>
      </c>
      <c r="AC167" s="17" cm="1">
        <f t="array" ref="AC167">$H167 *
IF(ISNUMBER(SEARCH("Rapid",$L167)),7/6,1) *
IF(OR(ISNUMBER(SEARCH("Beam",$L167)),ISNUMBER(SEARCH("Firestorm",$L167))),1, IF(ISNUMBER(SEARCH("Blast",$L167)),(4+$F167+(2-$F167)*0.5)/6*2,(4+$F167)/6)) *
IF(ISNUMBER(SEARCH("Fusion",$L167)), _xlfn.IFS(AC$24-$I167 &lt;=1, 9/10, AC$24-$I167 &lt;=10,(11-(AC$24-$I167))/10, AC$24-$I167 &gt;=11, 0),
_xlfn.IFS(AC$24-$I167 &lt;=1, 5/6, AC$24-$I167 &lt;=5, (7-(AC$24-$I167))/6, AND(AC$24-$I167 =6,NOT(_xlfn.IFNA(ISNUMBER(SEARCH("Rending",$L167)),FALSE))), (7-(AC$24-$I167))/6, AND(AC$24-$I167 &gt;=7,NOT(_xlfn.IFNA(ISNUMBER(SEARCH("Rending",$L167)),FALSE))), 0, AC$24-$I167 =7, (7-(AC$24-1-$I167))/6, AC$24-$I167 =8, (7-(AC$24-2-$I167))/6*2/3, AC$24-$I167 =9, (7-(AC$24-3-$I167))/6*1/3, TRUE, 0)) *
IF(ISNUMBER(SEARCH("Ordinance",$L167)),7/6,1) *
IF(OR(ISNUMBER(SEARCH("Melee",$L167)),ISNUMBER(SEARCH("Bypass",$L167))),1.5,1)</f>
        <v>0</v>
      </c>
      <c r="AD167" s="17" cm="1">
        <f t="array" ref="AD167">$H167 *
IF(ISNUMBER(SEARCH("Rapid",$L167)),7/6,1) *
IF(OR(ISNUMBER(SEARCH("Beam",$L167)),ISNUMBER(SEARCH("Firestorm",$L167))),1, IF(ISNUMBER(SEARCH("Blast",$L167)),(4+$F167+(2-$F167)*0.5)/6*2,(4+$F167)/6)) *
IF(ISNUMBER(SEARCH("Fusion",$L167)), _xlfn.IFS(AD$24-$I167 &lt;=1, 9/10, AD$24-$I167 &lt;=10,(11-(AD$24-$I167))/10, AD$24-$I167 &gt;=11, 0),
_xlfn.IFS(AD$24-$I167 &lt;=1, 5/6, AD$24-$I167 &lt;=5, (7-(AD$24-$I167))/6, AND(AD$24-$I167 =6,NOT(_xlfn.IFNA(ISNUMBER(SEARCH("Rending",$L167)),FALSE))), (7-(AD$24-$I167))/6, AND(AD$24-$I167 &gt;=7,NOT(_xlfn.IFNA(ISNUMBER(SEARCH("Rending",$L167)),FALSE))), 0, AD$24-$I167 =7, (7-(AD$24-1-$I167))/6, AD$24-$I167 =8, (7-(AD$24-2-$I167))/6*2/3, AD$24-$I167 =9, (7-(AD$24-3-$I167))/6*1/3, TRUE, 0)) *
IF(ISNUMBER(SEARCH("Ordinance",$L167)),7/6,1) *
IF(OR(ISNUMBER(SEARCH("Melee",$L167)),ISNUMBER(SEARCH("Bypass",$L167))),1.5,1)</f>
        <v>0</v>
      </c>
      <c r="AE167" s="17" cm="1">
        <f t="array" ref="AE167">$H167 *
IF(ISNUMBER(SEARCH("Rapid",$L167)),7/6,1) *
IF(OR(ISNUMBER(SEARCH("Beam",$L167)),ISNUMBER(SEARCH("Firestorm",$L167))),1, IF(ISNUMBER(SEARCH("Blast",$L167)),(4+$F167+(2-$F167)*0.5)/6*2,(4+$F167)/6)) *
IF(ISNUMBER(SEARCH("Fusion",$L167)), _xlfn.IFS(AE$24-$I167 &lt;=1, 9/10, AE$24-$I167 &lt;=10,(11-(AE$24-$I167))/10, AE$24-$I167 &gt;=11, 0),
_xlfn.IFS(AE$24-$I167 &lt;=1, 5/6, AE$24-$I167 &lt;=5, (7-(AE$24-$I167))/6, AND(AE$24-$I167 =6,NOT(_xlfn.IFNA(ISNUMBER(SEARCH("Rending",$L167)),FALSE))), (7-(AE$24-$I167))/6, AND(AE$24-$I167 &gt;=7,NOT(_xlfn.IFNA(ISNUMBER(SEARCH("Rending",$L167)),FALSE))), 0, AE$24-$I167 =7, (7-(AE$24-1-$I167))/6, AE$24-$I167 =8, (7-(AE$24-2-$I167))/6*2/3, AE$24-$I167 =9, (7-(AE$24-3-$I167))/6*1/3, TRUE, 0)) *
IF(ISNUMBER(SEARCH("Ordinance",$L167)),7/6,1) *
IF(OR(ISNUMBER(SEARCH("Melee",$L167)),ISNUMBER(SEARCH("Bypass",$L167))),1.5,1)</f>
        <v>0</v>
      </c>
      <c r="AF167" s="17" cm="1">
        <f t="array" ref="AF167">$H167 *
IF(ISNUMBER(SEARCH("Rapid",$L167)),7/6,1) *
IF(OR(ISNUMBER(SEARCH("Beam",$L167)),ISNUMBER(SEARCH("Firestorm",$L167))),1, IF(ISNUMBER(SEARCH("Blast",$L167)),(4+$F167+(2-$F167)*0.5)/6*2,(4+$F167)/6)) *
IF(ISNUMBER(SEARCH("Fusion",$L167)), _xlfn.IFS(AF$24-$I167 &lt;=1, 9/10, AF$24-$I167 &lt;=10,(11-(AF$24-$I167))/10, AF$24-$I167 &gt;=11, 0),
_xlfn.IFS(AF$24-$I167 &lt;=1, 5/6, AF$24-$I167 &lt;=5, (7-(AF$24-$I167))/6, AND(AF$24-$I167 =6,NOT(_xlfn.IFNA(ISNUMBER(SEARCH("Rending",$L167)),FALSE))), (7-(AF$24-$I167))/6, AND(AF$24-$I167 &gt;=7,NOT(_xlfn.IFNA(ISNUMBER(SEARCH("Rending",$L167)),FALSE))), 0, AF$24-$I167 =7, (7-(AF$24-1-$I167))/6, AF$24-$I167 =8, (7-(AF$24-2-$I167))/6*2/3, AF$24-$I167 =9, (7-(AF$24-3-$I167))/6*1/3, TRUE, 0)) *
IF(ISNUMBER(SEARCH("Ordinance",$L167)),7/6,1) *
IF(OR(ISNUMBER(SEARCH("Melee",$L167)),ISNUMBER(SEARCH("Bypass",$L167))),1.5,1)</f>
        <v>0</v>
      </c>
      <c r="AG167" s="16">
        <f t="shared" si="35"/>
        <v>2.074074074074074</v>
      </c>
      <c r="AH167" s="16">
        <f t="shared" si="36"/>
        <v>3.1111111111111112</v>
      </c>
      <c r="AI167" s="17" cm="1">
        <f t="array" ref="AI167">$H167 *
IF(ISNUMBER(SEARCH("Rapid",$L167)),7/6,1) *
IF(OR(ISNUMBER(SEARCH("Beam",$L167)),ISNUMBER(SEARCH("Firestorm",$L167))),1, IF(ISNUMBER(SEARCH("Blast",$L167)),(4+$G167+(2-$G167)*0.5)/6*2,(4+$G167)/6)) *
_xlfn.IFS(AI$24-$I167 &lt;=1, 5/6, AI$24-$I167 &lt;=5, (7-(AI$24-$I167))/6, AND(AI$24-$I167 =6,NOT(_xlfn.IFNA(ISNUMBER(SEARCH("Rending",$L167)),FALSE))), (7-(AI$24-$I167))/6, AND(AI$24-$I167 &gt;=7,NOT(_xlfn.IFNA(ISNUMBER(SEARCH("Rending",$L167)),FALSE))), 0, AI$24-$I167 =7, (7-(AI$24-1-$I167))/6, AI$24-$I167 =8, (7-(AI$24-2-$I167))/6*2/3, AI$24-$I167 =9, (7-(AI$24-3-$I167))/6*1/3, TRUE, 0) *
IF(ISNUMBER(SEARCH("Ordinance",$L167)),7/6,1) *
IF(OR(ISNUMBER(SEARCH("Melee",$L167)),ISNUMBER(SEARCH("Bypass",$L167))),1.5,1)</f>
        <v>1.037037037037037</v>
      </c>
      <c r="AJ167" s="17" cm="1">
        <f t="array" ref="AJ167">$H167 *
IF(ISNUMBER(SEARCH("Rapid",$L167)),7/6,1) *
IF(OR(ISNUMBER(SEARCH("Beam",$L167)),ISNUMBER(SEARCH("Firestorm",$L167))),1, IF(ISNUMBER(SEARCH("Blast",$L167)),(4+$G167+(2-$G167)*0.5)/6*2,(4+$G167)/6)) *
_xlfn.IFS(AJ$24-$I167 &lt;=1, 5/6, AJ$24-$I167 &lt;=5, (7-(AJ$24-$I167))/6, AND(AJ$24-$I167 =6,NOT(_xlfn.IFNA(ISNUMBER(SEARCH("Rending",$L167)),FALSE))), (7-(AJ$24-$I167))/6, AND(AJ$24-$I167 &gt;=7,NOT(_xlfn.IFNA(ISNUMBER(SEARCH("Rending",$L167)),FALSE))), 0, AJ$24-$I167 =7, (7-(AJ$24-1-$I167))/6, AJ$24-$I167 =8, (7-(AJ$24-2-$I167))/6*2/3, AJ$24-$I167 =9, (7-(AJ$24-3-$I167))/6*1/3, TRUE, 0) *
IF(ISNUMBER(SEARCH("Ordinance",$L167)),7/6,1) *
IF(OR(ISNUMBER(SEARCH("Melee",$L167)),ISNUMBER(SEARCH("Bypass",$L167))),1.5,1)</f>
        <v>0</v>
      </c>
      <c r="AK167" s="17" cm="1">
        <f t="array" ref="AK167">$H167 *
IF(ISNUMBER(SEARCH("Rapid",$L167)),7/6,1) *
IF(OR(ISNUMBER(SEARCH("Beam",$L167)),ISNUMBER(SEARCH("Firestorm",$L167))),1, IF(ISNUMBER(SEARCH("Blast",$L167)),(4+$G167+(2-$G167)*0.5)/6*2,(4+$G167)/6)) *
_xlfn.IFS(AK$24-$I167 &lt;=1, 5/6, AK$24-$I167 &lt;=5, (7-(AK$24-$I167))/6, AND(AK$24-$I167 =6,NOT(_xlfn.IFNA(ISNUMBER(SEARCH("Rending",$L167)),FALSE))), (7-(AK$24-$I167))/6, AND(AK$24-$I167 &gt;=7,NOT(_xlfn.IFNA(ISNUMBER(SEARCH("Rending",$L167)),FALSE))), 0, AK$24-$I167 =7, (7-(AK$24-1-$I167))/6, AK$24-$I167 =8, (7-(AK$24-2-$I167))/6*2/3, AK$24-$I167 =9, (7-(AK$24-3-$I167))/6*1/3, TRUE, 0) *
IF(ISNUMBER(SEARCH("Ordinance",$L167)),7/6,1) *
IF(OR(ISNUMBER(SEARCH("Melee",$L167)),ISNUMBER(SEARCH("Bypass",$L167))),1.5,1)</f>
        <v>0</v>
      </c>
      <c r="AL167" s="17" cm="1">
        <f t="array" ref="AL167">$H167 *
IF(ISNUMBER(SEARCH("Rapid",$L167)),7/6,1) *
IF(OR(ISNUMBER(SEARCH("Beam",$L167)),ISNUMBER(SEARCH("Firestorm",$L167))),1, IF(ISNUMBER(SEARCH("Blast",$L167)),(4+$G167+(2-$G167)*0.5)/6*2,(4+$G167)/6)) *
_xlfn.IFS(AL$24-$I167 &lt;=1, 5/6, AL$24-$I167 &lt;=5, (7-(AL$24-$I167))/6, AND(AL$24-$I167 =6,NOT(_xlfn.IFNA(ISNUMBER(SEARCH("Rending",$L167)),FALSE))), (7-(AL$24-$I167))/6, AND(AL$24-$I167 &gt;=7,NOT(_xlfn.IFNA(ISNUMBER(SEARCH("Rending",$L167)),FALSE))), 0, AL$24-$I167 =7, (7-(AL$24-1-$I167))/6, AL$24-$I167 =8, (7-(AL$24-2-$I167))/6*2/3, AL$24-$I167 =9, (7-(AL$24-3-$I167))/6*1/3, TRUE, 0) *
IF(ISNUMBER(SEARCH("Ordinance",$L167)),7/6,1) *
IF(OR(ISNUMBER(SEARCH("Melee",$L167)),ISNUMBER(SEARCH("Bypass",$L167))),1.5,1)</f>
        <v>0</v>
      </c>
      <c r="AM167" s="17" cm="1">
        <f t="array" ref="AM167">$H167 *
IF(ISNUMBER(SEARCH("Rapid",$L167)),7/6,1) *
IF(OR(ISNUMBER(SEARCH("Beam",$L167)),ISNUMBER(SEARCH("Firestorm",$L167))),1, IF(ISNUMBER(SEARCH("Blast",$L167)),(4+$G167+(2-$G167)*0.5)/6*2,(4+$G167)/6)) *
_xlfn.IFS(AM$24-$I167 &lt;=1, 5/6, AM$24-$I167 &lt;=5, (7-(AM$24-$I167))/6, AND(AM$24-$I167 =6,NOT(_xlfn.IFNA(ISNUMBER(SEARCH("Rending",$L167)),FALSE))), (7-(AM$24-$I167))/6, AND(AM$24-$I167 &gt;=7,NOT(_xlfn.IFNA(ISNUMBER(SEARCH("Rending",$L167)),FALSE))), 0, AM$24-$I167 =7, (7-(AM$24-1-$I167))/6, AM$24-$I167 =8, (7-(AM$24-2-$I167))/6*2/3, AM$24-$I167 =9, (7-(AM$24-3-$I167))/6*1/3, TRUE, 0) *
IF(ISNUMBER(SEARCH("Ordinance",$L167)),7/6,1) *
IF(OR(ISNUMBER(SEARCH("Melee",$L167)),ISNUMBER(SEARCH("Bypass",$L167))),1.5,1)</f>
        <v>0</v>
      </c>
      <c r="AN167" s="17" cm="1">
        <f t="array" ref="AN167">$H167 *
IF(ISNUMBER(SEARCH("Rapid",$L167)),7/6,1) *
IF(OR(ISNUMBER(SEARCH("Beam",$L167)),ISNUMBER(SEARCH("Firestorm",$L167))),1, IF(ISNUMBER(SEARCH("Blast",$L167)),(4+$G167+(2-$G167)*0.5)/6*2,(4+$G167)/6)) *
_xlfn.IFS(AN$24-$I167 &lt;=1, 5/6, AN$24-$I167 &lt;=5, (7-(AN$24-$I167))/6, AND(AN$24-$I167 =6,NOT(_xlfn.IFNA(ISNUMBER(SEARCH("Rending",$L167)),FALSE))), (7-(AN$24-$I167))/6, AND(AN$24-$I167 &gt;=7,NOT(_xlfn.IFNA(ISNUMBER(SEARCH("Rending",$L167)),FALSE))), 0, AN$24-$I167 =7, (7-(AN$24-1-$I167))/6, AN$24-$I167 =8, (7-(AN$24-2-$I167))/6*2/3, AN$24-$I167 =9, (7-(AN$24-3-$I167))/6*1/3, TRUE, 0) *
IF(ISNUMBER(SEARCH("Ordinance",$L167)),7/6,1) *
IF(OR(ISNUMBER(SEARCH("Melee",$L167)),ISNUMBER(SEARCH("Bypass",$L167))),1.5,1)</f>
        <v>0</v>
      </c>
      <c r="AO167" s="17" cm="1">
        <f t="array" ref="AO167">$H167 *
IF(ISNUMBER(SEARCH("Rapid",$L167)),7/6,1) *
IF(OR(ISNUMBER(SEARCH("Beam",$L167)),ISNUMBER(SEARCH("Firestorm",$L167))),1, IF(ISNUMBER(SEARCH("Blast",$L167)),(4+$G167+(2-$G167)*0.5)/6*2,(4+$G167)/6)) *
_xlfn.IFS(AO$24-$I167 &lt;=1, 5/6, AO$24-$I167 &lt;=5, (7-(AO$24-$I167))/6, AND(AO$24-$I167 =6,NOT(_xlfn.IFNA(ISNUMBER(SEARCH("Rending",$L167)),FALSE))), (7-(AO$24-$I167))/6, AND(AO$24-$I167 &gt;=7,NOT(_xlfn.IFNA(ISNUMBER(SEARCH("Rending",$L167)),FALSE))), 0, AO$24-$I167 =7, (7-(AO$24-1-$I167))/6, AO$24-$I167 =8, (7-(AO$24-2-$I167))/6*2/3, AO$24-$I167 =9, (7-(AO$24-3-$I167))/6*1/3, TRUE, 0) *
IF(ISNUMBER(SEARCH("Ordinance",$L167)),7/6,1) *
IF(OR(ISNUMBER(SEARCH("Melee",$L167)),ISNUMBER(SEARCH("Bypass",$L167))),1.5,1)</f>
        <v>0</v>
      </c>
      <c r="AP167" s="17" cm="1">
        <f t="array" ref="AP167">$H167 *
IF(ISNUMBER(SEARCH("Rapid",$L167)),7/6,1) *
IF(OR(ISNUMBER(SEARCH("Beam",$L167)),ISNUMBER(SEARCH("Firestorm",$L167))),1, IF(ISNUMBER(SEARCH("Blast",$L167)),(4+$G167+(2-$G167)*0.5)/6*2,(4+$G167)/6)) *
_xlfn.IFS(AP$24-$I167 &lt;=1, 5/6, AP$24-$I167 &lt;=5, (7-(AP$24-$I167))/6, AND(AP$24-$I167 =6,NOT(_xlfn.IFNA(ISNUMBER(SEARCH("Rending",$L167)),FALSE))), (7-(AP$24-$I167))/6, AND(AP$24-$I167 &gt;=7,NOT(_xlfn.IFNA(ISNUMBER(SEARCH("Rending",$L167)),FALSE))), 0, AP$24-$I167 =7, (7-(AP$24-1-$I167))/6, AP$24-$I167 =8, (7-(AP$24-2-$I167))/6*2/3, AP$24-$I167 =9, (7-(AP$24-3-$I167))/6*1/3, TRUE, 0) *
IF(ISNUMBER(SEARCH("Ordinance",$L167)),7/6,1) *
IF(OR(ISNUMBER(SEARCH("Melee",$L167)),ISNUMBER(SEARCH("Bypass",$L167))),1.5,1)</f>
        <v>0</v>
      </c>
      <c r="AQ167" s="17" cm="1">
        <f t="array" ref="AQ167">$H167 *
IF(ISNUMBER(SEARCH("Rapid",$L167)),7/6,1) *
IF(OR(ISNUMBER(SEARCH("Beam",$L167)),ISNUMBER(SEARCH("Firestorm",$L167))),1, IF(ISNUMBER(SEARCH("Blast",$L167)),(4+$G167+(2-$G167)*0.5)/6*2,(4+$G167)/6)) *
_xlfn.IFS(AQ$24-$I167 &lt;=1, 5/6, AQ$24-$I167 &lt;=5, (7-(AQ$24-$I167))/6, AND(AQ$24-$I167 =6,NOT(_xlfn.IFNA(ISNUMBER(SEARCH("Rending",$L167)),FALSE))), (7-(AQ$24-$I167))/6, AND(AQ$24-$I167 &gt;=7,NOT(_xlfn.IFNA(ISNUMBER(SEARCH("Rending",$L167)),FALSE))), 0, AQ$24-$I167 =7, (7-(AQ$24-1-$I167))/6, AQ$24-$I167 =8, (7-(AQ$24-2-$I167))/6*2/3, AQ$24-$I167 =9, (7-(AQ$24-3-$I167))/6*1/3, TRUE, 0) *
IF(ISNUMBER(SEARCH("Ordinance",$L167)),7/6,1) *
IF(OR(ISNUMBER(SEARCH("Melee",$L167)),ISNUMBER(SEARCH("Bypass",$L167))),1.5,1)</f>
        <v>0</v>
      </c>
      <c r="AS167" s="16">
        <f t="shared" si="41"/>
        <v>2.074074074074074</v>
      </c>
      <c r="AT167" s="16">
        <f t="shared" si="42"/>
        <v>3.1111111111111112</v>
      </c>
      <c r="AU167" s="16">
        <f t="shared" si="43"/>
        <v>0.59629629629629621</v>
      </c>
      <c r="AV167" s="2">
        <v>10</v>
      </c>
    </row>
    <row r="168" spans="1:48" x14ac:dyDescent="0.3">
      <c r="A168" t="s">
        <v>621</v>
      </c>
      <c r="B168" s="3">
        <v>3</v>
      </c>
      <c r="D168" s="3">
        <v>1</v>
      </c>
      <c r="F168" s="10">
        <v>2</v>
      </c>
      <c r="G168" s="10"/>
      <c r="H168" s="3">
        <v>1</v>
      </c>
      <c r="I168" s="3">
        <v>8</v>
      </c>
      <c r="K168" s="3">
        <v>15</v>
      </c>
      <c r="L168" s="3" t="s">
        <v>622</v>
      </c>
      <c r="M168" s="3" t="s">
        <v>225</v>
      </c>
      <c r="V168" s="16">
        <f t="shared" si="33"/>
        <v>0.33333333333333331</v>
      </c>
      <c r="W168" s="16">
        <f t="shared" si="34"/>
        <v>0.5</v>
      </c>
      <c r="X168" s="17" cm="1">
        <f t="array" ref="X168">$H168 *
IF(ISNUMBER(SEARCH("Rapid",$L168)),7/6,1) *
IF(OR(ISNUMBER(SEARCH("Beam",$L168)),ISNUMBER(SEARCH("Firestorm",$L168))),1, IF(ISNUMBER(SEARCH("Blast",$L168)),(4+$F168+(2-$F168)*0.5)/6*2,(4+$F168)/6)) *
IF(ISNUMBER(SEARCH("Fusion",$L168)), _xlfn.IFS(X$24-$I168 &lt;=1, 9/10, X$24-$I168 &lt;=10,(11-(X$24-$I168))/10, X$24-$I168 &gt;=11, 0),
_xlfn.IFS(X$24-$I168 &lt;=1, 5/6, X$24-$I168 &lt;=5, (7-(X$24-$I168))/6, AND(X$24-$I168 =6,NOT(_xlfn.IFNA(ISNUMBER(SEARCH("Rending",$L168)),FALSE))), (7-(X$24-$I168))/6, AND(X$24-$I168 &gt;=7,NOT(_xlfn.IFNA(ISNUMBER(SEARCH("Rending",$L168)),FALSE))), 0, X$24-$I168 =7, (7-(X$24-1-$I168))/6, X$24-$I168 =8, (7-(X$24-2-$I168))/6*2/3, X$24-$I168 =9, (7-(X$24-3-$I168))/6*1/3, TRUE, 0)) *
IF(ISNUMBER(SEARCH("Ordinance",$L168)),7/6,1) *
IF(OR(ISNUMBER(SEARCH("Melee",$L168)),ISNUMBER(SEARCH("Bypass",$L168))),1.5,1)</f>
        <v>0.83333333333333337</v>
      </c>
      <c r="Y168" s="17" cm="1">
        <f t="array" ref="Y168">$H168 *
IF(ISNUMBER(SEARCH("Rapid",$L168)),7/6,1) *
IF(OR(ISNUMBER(SEARCH("Beam",$L168)),ISNUMBER(SEARCH("Firestorm",$L168))),1, IF(ISNUMBER(SEARCH("Blast",$L168)),(4+$F168+(2-$F168)*0.5)/6*2,(4+$F168)/6)) *
IF(ISNUMBER(SEARCH("Fusion",$L168)), _xlfn.IFS(Y$24-$I168 &lt;=1, 9/10, Y$24-$I168 &lt;=10,(11-(Y$24-$I168))/10, Y$24-$I168 &gt;=11, 0),
_xlfn.IFS(Y$24-$I168 &lt;=1, 5/6, Y$24-$I168 &lt;=5, (7-(Y$24-$I168))/6, AND(Y$24-$I168 =6,NOT(_xlfn.IFNA(ISNUMBER(SEARCH("Rending",$L168)),FALSE))), (7-(Y$24-$I168))/6, AND(Y$24-$I168 &gt;=7,NOT(_xlfn.IFNA(ISNUMBER(SEARCH("Rending",$L168)),FALSE))), 0, Y$24-$I168 =7, (7-(Y$24-1-$I168))/6, Y$24-$I168 =8, (7-(Y$24-2-$I168))/6*2/3, Y$24-$I168 =9, (7-(Y$24-3-$I168))/6*1/3, TRUE, 0)) *
IF(ISNUMBER(SEARCH("Ordinance",$L168)),7/6,1) *
IF(OR(ISNUMBER(SEARCH("Melee",$L168)),ISNUMBER(SEARCH("Bypass",$L168))),1.5,1)</f>
        <v>0.83333333333333337</v>
      </c>
      <c r="Z168" s="17" cm="1">
        <f t="array" ref="Z168">$H168 *
IF(ISNUMBER(SEARCH("Rapid",$L168)),7/6,1) *
IF(OR(ISNUMBER(SEARCH("Beam",$L168)),ISNUMBER(SEARCH("Firestorm",$L168))),1, IF(ISNUMBER(SEARCH("Blast",$L168)),(4+$F168+(2-$F168)*0.5)/6*2,(4+$F168)/6)) *
IF(ISNUMBER(SEARCH("Fusion",$L168)), _xlfn.IFS(Z$24-$I168 &lt;=1, 9/10, Z$24-$I168 &lt;=10,(11-(Z$24-$I168))/10, Z$24-$I168 &gt;=11, 0),
_xlfn.IFS(Z$24-$I168 &lt;=1, 5/6, Z$24-$I168 &lt;=5, (7-(Z$24-$I168))/6, AND(Z$24-$I168 =6,NOT(_xlfn.IFNA(ISNUMBER(SEARCH("Rending",$L168)),FALSE))), (7-(Z$24-$I168))/6, AND(Z$24-$I168 &gt;=7,NOT(_xlfn.IFNA(ISNUMBER(SEARCH("Rending",$L168)),FALSE))), 0, Z$24-$I168 =7, (7-(Z$24-1-$I168))/6, Z$24-$I168 =8, (7-(Z$24-2-$I168))/6*2/3, Z$24-$I168 =9, (7-(Z$24-3-$I168))/6*1/3, TRUE, 0)) *
IF(ISNUMBER(SEARCH("Ordinance",$L168)),7/6,1) *
IF(OR(ISNUMBER(SEARCH("Melee",$L168)),ISNUMBER(SEARCH("Bypass",$L168))),1.5,1)</f>
        <v>0.66666666666666663</v>
      </c>
      <c r="AA168" s="17" cm="1">
        <f t="array" ref="AA168">$H168 *
IF(ISNUMBER(SEARCH("Rapid",$L168)),7/6,1) *
IF(OR(ISNUMBER(SEARCH("Beam",$L168)),ISNUMBER(SEARCH("Firestorm",$L168))),1, IF(ISNUMBER(SEARCH("Blast",$L168)),(4+$F168+(2-$F168)*0.5)/6*2,(4+$F168)/6)) *
IF(ISNUMBER(SEARCH("Fusion",$L168)), _xlfn.IFS(AA$24-$I168 &lt;=1, 9/10, AA$24-$I168 &lt;=10,(11-(AA$24-$I168))/10, AA$24-$I168 &gt;=11, 0),
_xlfn.IFS(AA$24-$I168 &lt;=1, 5/6, AA$24-$I168 &lt;=5, (7-(AA$24-$I168))/6, AND(AA$24-$I168 =6,NOT(_xlfn.IFNA(ISNUMBER(SEARCH("Rending",$L168)),FALSE))), (7-(AA$24-$I168))/6, AND(AA$24-$I168 &gt;=7,NOT(_xlfn.IFNA(ISNUMBER(SEARCH("Rending",$L168)),FALSE))), 0, AA$24-$I168 =7, (7-(AA$24-1-$I168))/6, AA$24-$I168 =8, (7-(AA$24-2-$I168))/6*2/3, AA$24-$I168 =9, (7-(AA$24-3-$I168))/6*1/3, TRUE, 0)) *
IF(ISNUMBER(SEARCH("Ordinance",$L168)),7/6,1) *
IF(OR(ISNUMBER(SEARCH("Melee",$L168)),ISNUMBER(SEARCH("Bypass",$L168))),1.5,1)</f>
        <v>0.5</v>
      </c>
      <c r="AB168" s="17" cm="1">
        <f t="array" ref="AB168">$H168 *
IF(ISNUMBER(SEARCH("Rapid",$L168)),7/6,1) *
IF(OR(ISNUMBER(SEARCH("Beam",$L168)),ISNUMBER(SEARCH("Firestorm",$L168))),1, IF(ISNUMBER(SEARCH("Blast",$L168)),(4+$F168+(2-$F168)*0.5)/6*2,(4+$F168)/6)) *
IF(ISNUMBER(SEARCH("Fusion",$L168)), _xlfn.IFS(AB$24-$I168 &lt;=1, 9/10, AB$24-$I168 &lt;=10,(11-(AB$24-$I168))/10, AB$24-$I168 &gt;=11, 0),
_xlfn.IFS(AB$24-$I168 &lt;=1, 5/6, AB$24-$I168 &lt;=5, (7-(AB$24-$I168))/6, AND(AB$24-$I168 =6,NOT(_xlfn.IFNA(ISNUMBER(SEARCH("Rending",$L168)),FALSE))), (7-(AB$24-$I168))/6, AND(AB$24-$I168 &gt;=7,NOT(_xlfn.IFNA(ISNUMBER(SEARCH("Rending",$L168)),FALSE))), 0, AB$24-$I168 =7, (7-(AB$24-1-$I168))/6, AB$24-$I168 =8, (7-(AB$24-2-$I168))/6*2/3, AB$24-$I168 =9, (7-(AB$24-3-$I168))/6*1/3, TRUE, 0)) *
IF(ISNUMBER(SEARCH("Ordinance",$L168)),7/6,1) *
IF(OR(ISNUMBER(SEARCH("Melee",$L168)),ISNUMBER(SEARCH("Bypass",$L168))),1.5,1)</f>
        <v>0.33333333333333331</v>
      </c>
      <c r="AC168" s="17" cm="1">
        <f t="array" ref="AC168">$H168 *
IF(ISNUMBER(SEARCH("Rapid",$L168)),7/6,1) *
IF(OR(ISNUMBER(SEARCH("Beam",$L168)),ISNUMBER(SEARCH("Firestorm",$L168))),1, IF(ISNUMBER(SEARCH("Blast",$L168)),(4+$F168+(2-$F168)*0.5)/6*2,(4+$F168)/6)) *
IF(ISNUMBER(SEARCH("Fusion",$L168)), _xlfn.IFS(AC$24-$I168 &lt;=1, 9/10, AC$24-$I168 &lt;=10,(11-(AC$24-$I168))/10, AC$24-$I168 &gt;=11, 0),
_xlfn.IFS(AC$24-$I168 &lt;=1, 5/6, AC$24-$I168 &lt;=5, (7-(AC$24-$I168))/6, AND(AC$24-$I168 =6,NOT(_xlfn.IFNA(ISNUMBER(SEARCH("Rending",$L168)),FALSE))), (7-(AC$24-$I168))/6, AND(AC$24-$I168 &gt;=7,NOT(_xlfn.IFNA(ISNUMBER(SEARCH("Rending",$L168)),FALSE))), 0, AC$24-$I168 =7, (7-(AC$24-1-$I168))/6, AC$24-$I168 =8, (7-(AC$24-2-$I168))/6*2/3, AC$24-$I168 =9, (7-(AC$24-3-$I168))/6*1/3, TRUE, 0)) *
IF(ISNUMBER(SEARCH("Ordinance",$L168)),7/6,1) *
IF(OR(ISNUMBER(SEARCH("Melee",$L168)),ISNUMBER(SEARCH("Bypass",$L168))),1.5,1)</f>
        <v>0.16666666666666666</v>
      </c>
      <c r="AD168" s="17" cm="1">
        <f t="array" ref="AD168">$H168 *
IF(ISNUMBER(SEARCH("Rapid",$L168)),7/6,1) *
IF(OR(ISNUMBER(SEARCH("Beam",$L168)),ISNUMBER(SEARCH("Firestorm",$L168))),1, IF(ISNUMBER(SEARCH("Blast",$L168)),(4+$F168+(2-$F168)*0.5)/6*2,(4+$F168)/6)) *
IF(ISNUMBER(SEARCH("Fusion",$L168)), _xlfn.IFS(AD$24-$I168 &lt;=1, 9/10, AD$24-$I168 &lt;=10,(11-(AD$24-$I168))/10, AD$24-$I168 &gt;=11, 0),
_xlfn.IFS(AD$24-$I168 &lt;=1, 5/6, AD$24-$I168 &lt;=5, (7-(AD$24-$I168))/6, AND(AD$24-$I168 =6,NOT(_xlfn.IFNA(ISNUMBER(SEARCH("Rending",$L168)),FALSE))), (7-(AD$24-$I168))/6, AND(AD$24-$I168 &gt;=7,NOT(_xlfn.IFNA(ISNUMBER(SEARCH("Rending",$L168)),FALSE))), 0, AD$24-$I168 =7, (7-(AD$24-1-$I168))/6, AD$24-$I168 =8, (7-(AD$24-2-$I168))/6*2/3, AD$24-$I168 =9, (7-(AD$24-3-$I168))/6*1/3, TRUE, 0)) *
IF(ISNUMBER(SEARCH("Ordinance",$L168)),7/6,1) *
IF(OR(ISNUMBER(SEARCH("Melee",$L168)),ISNUMBER(SEARCH("Bypass",$L168))),1.5,1)</f>
        <v>0</v>
      </c>
      <c r="AE168" s="17" cm="1">
        <f t="array" ref="AE168">$H168 *
IF(ISNUMBER(SEARCH("Rapid",$L168)),7/6,1) *
IF(OR(ISNUMBER(SEARCH("Beam",$L168)),ISNUMBER(SEARCH("Firestorm",$L168))),1, IF(ISNUMBER(SEARCH("Blast",$L168)),(4+$F168+(2-$F168)*0.5)/6*2,(4+$F168)/6)) *
IF(ISNUMBER(SEARCH("Fusion",$L168)), _xlfn.IFS(AE$24-$I168 &lt;=1, 9/10, AE$24-$I168 &lt;=10,(11-(AE$24-$I168))/10, AE$24-$I168 &gt;=11, 0),
_xlfn.IFS(AE$24-$I168 &lt;=1, 5/6, AE$24-$I168 &lt;=5, (7-(AE$24-$I168))/6, AND(AE$24-$I168 =6,NOT(_xlfn.IFNA(ISNUMBER(SEARCH("Rending",$L168)),FALSE))), (7-(AE$24-$I168))/6, AND(AE$24-$I168 &gt;=7,NOT(_xlfn.IFNA(ISNUMBER(SEARCH("Rending",$L168)),FALSE))), 0, AE$24-$I168 =7, (7-(AE$24-1-$I168))/6, AE$24-$I168 =8, (7-(AE$24-2-$I168))/6*2/3, AE$24-$I168 =9, (7-(AE$24-3-$I168))/6*1/3, TRUE, 0)) *
IF(ISNUMBER(SEARCH("Ordinance",$L168)),7/6,1) *
IF(OR(ISNUMBER(SEARCH("Melee",$L168)),ISNUMBER(SEARCH("Bypass",$L168))),1.5,1)</f>
        <v>0</v>
      </c>
      <c r="AF168" s="17" cm="1">
        <f t="array" ref="AF168">$H168 *
IF(ISNUMBER(SEARCH("Rapid",$L168)),7/6,1) *
IF(OR(ISNUMBER(SEARCH("Beam",$L168)),ISNUMBER(SEARCH("Firestorm",$L168))),1, IF(ISNUMBER(SEARCH("Blast",$L168)),(4+$F168+(2-$F168)*0.5)/6*2,(4+$F168)/6)) *
IF(ISNUMBER(SEARCH("Fusion",$L168)), _xlfn.IFS(AF$24-$I168 &lt;=1, 9/10, AF$24-$I168 &lt;=10,(11-(AF$24-$I168))/10, AF$24-$I168 &gt;=11, 0),
_xlfn.IFS(AF$24-$I168 &lt;=1, 5/6, AF$24-$I168 &lt;=5, (7-(AF$24-$I168))/6, AND(AF$24-$I168 =6,NOT(_xlfn.IFNA(ISNUMBER(SEARCH("Rending",$L168)),FALSE))), (7-(AF$24-$I168))/6, AND(AF$24-$I168 &gt;=7,NOT(_xlfn.IFNA(ISNUMBER(SEARCH("Rending",$L168)),FALSE))), 0, AF$24-$I168 =7, (7-(AF$24-1-$I168))/6, AF$24-$I168 =8, (7-(AF$24-2-$I168))/6*2/3, AF$24-$I168 =9, (7-(AF$24-3-$I168))/6*1/3, TRUE, 0)) *
IF(ISNUMBER(SEARCH("Ordinance",$L168)),7/6,1) *
IF(OR(ISNUMBER(SEARCH("Melee",$L168)),ISNUMBER(SEARCH("Bypass",$L168))),1.5,1)</f>
        <v>0</v>
      </c>
      <c r="AG168" s="16">
        <f t="shared" si="35"/>
        <v>0.22222222222222221</v>
      </c>
      <c r="AH168" s="16">
        <f t="shared" si="36"/>
        <v>0.33333333333333331</v>
      </c>
      <c r="AI168" s="17" cm="1">
        <f t="array" ref="AI168">$H168 *
IF(ISNUMBER(SEARCH("Rapid",$L168)),7/6,1) *
IF(OR(ISNUMBER(SEARCH("Beam",$L168)),ISNUMBER(SEARCH("Firestorm",$L168))),1, IF(ISNUMBER(SEARCH("Blast",$L168)),(4+$G168+(2-$G168)*0.5)/6*2,(4+$G168)/6)) *
_xlfn.IFS(AI$24-$I168 &lt;=1, 5/6, AI$24-$I168 &lt;=5, (7-(AI$24-$I168))/6, AND(AI$24-$I168 =6,NOT(_xlfn.IFNA(ISNUMBER(SEARCH("Rending",$L168)),FALSE))), (7-(AI$24-$I168))/6, AND(AI$24-$I168 &gt;=7,NOT(_xlfn.IFNA(ISNUMBER(SEARCH("Rending",$L168)),FALSE))), 0, AI$24-$I168 =7, (7-(AI$24-1-$I168))/6, AI$24-$I168 =8, (7-(AI$24-2-$I168))/6*2/3, AI$24-$I168 =9, (7-(AI$24-3-$I168))/6*1/3, TRUE, 0) *
IF(ISNUMBER(SEARCH("Ordinance",$L168)),7/6,1) *
IF(OR(ISNUMBER(SEARCH("Melee",$L168)),ISNUMBER(SEARCH("Bypass",$L168))),1.5,1)</f>
        <v>0.55555555555555558</v>
      </c>
      <c r="AJ168" s="17" cm="1">
        <f t="array" ref="AJ168">$H168 *
IF(ISNUMBER(SEARCH("Rapid",$L168)),7/6,1) *
IF(OR(ISNUMBER(SEARCH("Beam",$L168)),ISNUMBER(SEARCH("Firestorm",$L168))),1, IF(ISNUMBER(SEARCH("Blast",$L168)),(4+$G168+(2-$G168)*0.5)/6*2,(4+$G168)/6)) *
_xlfn.IFS(AJ$24-$I168 &lt;=1, 5/6, AJ$24-$I168 &lt;=5, (7-(AJ$24-$I168))/6, AND(AJ$24-$I168 =6,NOT(_xlfn.IFNA(ISNUMBER(SEARCH("Rending",$L168)),FALSE))), (7-(AJ$24-$I168))/6, AND(AJ$24-$I168 &gt;=7,NOT(_xlfn.IFNA(ISNUMBER(SEARCH("Rending",$L168)),FALSE))), 0, AJ$24-$I168 =7, (7-(AJ$24-1-$I168))/6, AJ$24-$I168 =8, (7-(AJ$24-2-$I168))/6*2/3, AJ$24-$I168 =9, (7-(AJ$24-3-$I168))/6*1/3, TRUE, 0) *
IF(ISNUMBER(SEARCH("Ordinance",$L168)),7/6,1) *
IF(OR(ISNUMBER(SEARCH("Melee",$L168)),ISNUMBER(SEARCH("Bypass",$L168))),1.5,1)</f>
        <v>0.55555555555555558</v>
      </c>
      <c r="AK168" s="17" cm="1">
        <f t="array" ref="AK168">$H168 *
IF(ISNUMBER(SEARCH("Rapid",$L168)),7/6,1) *
IF(OR(ISNUMBER(SEARCH("Beam",$L168)),ISNUMBER(SEARCH("Firestorm",$L168))),1, IF(ISNUMBER(SEARCH("Blast",$L168)),(4+$G168+(2-$G168)*0.5)/6*2,(4+$G168)/6)) *
_xlfn.IFS(AK$24-$I168 &lt;=1, 5/6, AK$24-$I168 &lt;=5, (7-(AK$24-$I168))/6, AND(AK$24-$I168 =6,NOT(_xlfn.IFNA(ISNUMBER(SEARCH("Rending",$L168)),FALSE))), (7-(AK$24-$I168))/6, AND(AK$24-$I168 &gt;=7,NOT(_xlfn.IFNA(ISNUMBER(SEARCH("Rending",$L168)),FALSE))), 0, AK$24-$I168 =7, (7-(AK$24-1-$I168))/6, AK$24-$I168 =8, (7-(AK$24-2-$I168))/6*2/3, AK$24-$I168 =9, (7-(AK$24-3-$I168))/6*1/3, TRUE, 0) *
IF(ISNUMBER(SEARCH("Ordinance",$L168)),7/6,1) *
IF(OR(ISNUMBER(SEARCH("Melee",$L168)),ISNUMBER(SEARCH("Bypass",$L168))),1.5,1)</f>
        <v>0.44444444444444442</v>
      </c>
      <c r="AL168" s="17" cm="1">
        <f t="array" ref="AL168">$H168 *
IF(ISNUMBER(SEARCH("Rapid",$L168)),7/6,1) *
IF(OR(ISNUMBER(SEARCH("Beam",$L168)),ISNUMBER(SEARCH("Firestorm",$L168))),1, IF(ISNUMBER(SEARCH("Blast",$L168)),(4+$G168+(2-$G168)*0.5)/6*2,(4+$G168)/6)) *
_xlfn.IFS(AL$24-$I168 &lt;=1, 5/6, AL$24-$I168 &lt;=5, (7-(AL$24-$I168))/6, AND(AL$24-$I168 =6,NOT(_xlfn.IFNA(ISNUMBER(SEARCH("Rending",$L168)),FALSE))), (7-(AL$24-$I168))/6, AND(AL$24-$I168 &gt;=7,NOT(_xlfn.IFNA(ISNUMBER(SEARCH("Rending",$L168)),FALSE))), 0, AL$24-$I168 =7, (7-(AL$24-1-$I168))/6, AL$24-$I168 =8, (7-(AL$24-2-$I168))/6*2/3, AL$24-$I168 =9, (7-(AL$24-3-$I168))/6*1/3, TRUE, 0) *
IF(ISNUMBER(SEARCH("Ordinance",$L168)),7/6,1) *
IF(OR(ISNUMBER(SEARCH("Melee",$L168)),ISNUMBER(SEARCH("Bypass",$L168))),1.5,1)</f>
        <v>0.33333333333333331</v>
      </c>
      <c r="AM168" s="17" cm="1">
        <f t="array" ref="AM168">$H168 *
IF(ISNUMBER(SEARCH("Rapid",$L168)),7/6,1) *
IF(OR(ISNUMBER(SEARCH("Beam",$L168)),ISNUMBER(SEARCH("Firestorm",$L168))),1, IF(ISNUMBER(SEARCH("Blast",$L168)),(4+$G168+(2-$G168)*0.5)/6*2,(4+$G168)/6)) *
_xlfn.IFS(AM$24-$I168 &lt;=1, 5/6, AM$24-$I168 &lt;=5, (7-(AM$24-$I168))/6, AND(AM$24-$I168 =6,NOT(_xlfn.IFNA(ISNUMBER(SEARCH("Rending",$L168)),FALSE))), (7-(AM$24-$I168))/6, AND(AM$24-$I168 &gt;=7,NOT(_xlfn.IFNA(ISNUMBER(SEARCH("Rending",$L168)),FALSE))), 0, AM$24-$I168 =7, (7-(AM$24-1-$I168))/6, AM$24-$I168 =8, (7-(AM$24-2-$I168))/6*2/3, AM$24-$I168 =9, (7-(AM$24-3-$I168))/6*1/3, TRUE, 0) *
IF(ISNUMBER(SEARCH("Ordinance",$L168)),7/6,1) *
IF(OR(ISNUMBER(SEARCH("Melee",$L168)),ISNUMBER(SEARCH("Bypass",$L168))),1.5,1)</f>
        <v>0.22222222222222221</v>
      </c>
      <c r="AN168" s="17" cm="1">
        <f t="array" ref="AN168">$H168 *
IF(ISNUMBER(SEARCH("Rapid",$L168)),7/6,1) *
IF(OR(ISNUMBER(SEARCH("Beam",$L168)),ISNUMBER(SEARCH("Firestorm",$L168))),1, IF(ISNUMBER(SEARCH("Blast",$L168)),(4+$G168+(2-$G168)*0.5)/6*2,(4+$G168)/6)) *
_xlfn.IFS(AN$24-$I168 &lt;=1, 5/6, AN$24-$I168 &lt;=5, (7-(AN$24-$I168))/6, AND(AN$24-$I168 =6,NOT(_xlfn.IFNA(ISNUMBER(SEARCH("Rending",$L168)),FALSE))), (7-(AN$24-$I168))/6, AND(AN$24-$I168 &gt;=7,NOT(_xlfn.IFNA(ISNUMBER(SEARCH("Rending",$L168)),FALSE))), 0, AN$24-$I168 =7, (7-(AN$24-1-$I168))/6, AN$24-$I168 =8, (7-(AN$24-2-$I168))/6*2/3, AN$24-$I168 =9, (7-(AN$24-3-$I168))/6*1/3, TRUE, 0) *
IF(ISNUMBER(SEARCH("Ordinance",$L168)),7/6,1) *
IF(OR(ISNUMBER(SEARCH("Melee",$L168)),ISNUMBER(SEARCH("Bypass",$L168))),1.5,1)</f>
        <v>0.1111111111111111</v>
      </c>
      <c r="AO168" s="17" cm="1">
        <f t="array" ref="AO168">$H168 *
IF(ISNUMBER(SEARCH("Rapid",$L168)),7/6,1) *
IF(OR(ISNUMBER(SEARCH("Beam",$L168)),ISNUMBER(SEARCH("Firestorm",$L168))),1, IF(ISNUMBER(SEARCH("Blast",$L168)),(4+$G168+(2-$G168)*0.5)/6*2,(4+$G168)/6)) *
_xlfn.IFS(AO$24-$I168 &lt;=1, 5/6, AO$24-$I168 &lt;=5, (7-(AO$24-$I168))/6, AND(AO$24-$I168 =6,NOT(_xlfn.IFNA(ISNUMBER(SEARCH("Rending",$L168)),FALSE))), (7-(AO$24-$I168))/6, AND(AO$24-$I168 &gt;=7,NOT(_xlfn.IFNA(ISNUMBER(SEARCH("Rending",$L168)),FALSE))), 0, AO$24-$I168 =7, (7-(AO$24-1-$I168))/6, AO$24-$I168 =8, (7-(AO$24-2-$I168))/6*2/3, AO$24-$I168 =9, (7-(AO$24-3-$I168))/6*1/3, TRUE, 0) *
IF(ISNUMBER(SEARCH("Ordinance",$L168)),7/6,1) *
IF(OR(ISNUMBER(SEARCH("Melee",$L168)),ISNUMBER(SEARCH("Bypass",$L168))),1.5,1)</f>
        <v>0</v>
      </c>
      <c r="AP168" s="17" cm="1">
        <f t="array" ref="AP168">$H168 *
IF(ISNUMBER(SEARCH("Rapid",$L168)),7/6,1) *
IF(OR(ISNUMBER(SEARCH("Beam",$L168)),ISNUMBER(SEARCH("Firestorm",$L168))),1, IF(ISNUMBER(SEARCH("Blast",$L168)),(4+$G168+(2-$G168)*0.5)/6*2,(4+$G168)/6)) *
_xlfn.IFS(AP$24-$I168 &lt;=1, 5/6, AP$24-$I168 &lt;=5, (7-(AP$24-$I168))/6, AND(AP$24-$I168 =6,NOT(_xlfn.IFNA(ISNUMBER(SEARCH("Rending",$L168)),FALSE))), (7-(AP$24-$I168))/6, AND(AP$24-$I168 &gt;=7,NOT(_xlfn.IFNA(ISNUMBER(SEARCH("Rending",$L168)),FALSE))), 0, AP$24-$I168 =7, (7-(AP$24-1-$I168))/6, AP$24-$I168 =8, (7-(AP$24-2-$I168))/6*2/3, AP$24-$I168 =9, (7-(AP$24-3-$I168))/6*1/3, TRUE, 0) *
IF(ISNUMBER(SEARCH("Ordinance",$L168)),7/6,1) *
IF(OR(ISNUMBER(SEARCH("Melee",$L168)),ISNUMBER(SEARCH("Bypass",$L168))),1.5,1)</f>
        <v>0</v>
      </c>
      <c r="AQ168" s="17" cm="1">
        <f t="array" ref="AQ168">$H168 *
IF(ISNUMBER(SEARCH("Rapid",$L168)),7/6,1) *
IF(OR(ISNUMBER(SEARCH("Beam",$L168)),ISNUMBER(SEARCH("Firestorm",$L168))),1, IF(ISNUMBER(SEARCH("Blast",$L168)),(4+$G168+(2-$G168)*0.5)/6*2,(4+$G168)/6)) *
_xlfn.IFS(AQ$24-$I168 &lt;=1, 5/6, AQ$24-$I168 &lt;=5, (7-(AQ$24-$I168))/6, AND(AQ$24-$I168 =6,NOT(_xlfn.IFNA(ISNUMBER(SEARCH("Rending",$L168)),FALSE))), (7-(AQ$24-$I168))/6, AND(AQ$24-$I168 &gt;=7,NOT(_xlfn.IFNA(ISNUMBER(SEARCH("Rending",$L168)),FALSE))), 0, AQ$24-$I168 =7, (7-(AQ$24-1-$I168))/6, AQ$24-$I168 =8, (7-(AQ$24-2-$I168))/6*2/3, AQ$24-$I168 =9, (7-(AQ$24-3-$I168))/6*1/3, TRUE, 0) *
IF(ISNUMBER(SEARCH("Ordinance",$L168)),7/6,1) *
IF(OR(ISNUMBER(SEARCH("Melee",$L168)),ISNUMBER(SEARCH("Bypass",$L168))),1.5,1)</f>
        <v>0</v>
      </c>
      <c r="AS168" s="16">
        <f t="shared" si="41"/>
        <v>8.1481481481481488E-2</v>
      </c>
      <c r="AT168" s="16">
        <f t="shared" si="42"/>
        <v>0.12222222222222223</v>
      </c>
      <c r="AU168" s="16">
        <f t="shared" si="43"/>
        <v>0.19444444444444445</v>
      </c>
      <c r="AV168" s="2">
        <v>10</v>
      </c>
    </row>
    <row r="169" spans="1:48" x14ac:dyDescent="0.3">
      <c r="A169" t="s">
        <v>476</v>
      </c>
      <c r="B169" s="3">
        <v>2</v>
      </c>
      <c r="D169" s="3">
        <v>1</v>
      </c>
      <c r="F169" s="10">
        <v>1</v>
      </c>
      <c r="G169" s="10"/>
      <c r="H169" s="3">
        <v>1</v>
      </c>
      <c r="I169" s="3">
        <v>7</v>
      </c>
      <c r="K169" s="3">
        <v>5</v>
      </c>
      <c r="L169" s="3" t="s">
        <v>415</v>
      </c>
      <c r="M169" s="3" t="s">
        <v>225</v>
      </c>
      <c r="V169" s="16">
        <f t="shared" si="33"/>
        <v>0</v>
      </c>
      <c r="W169" s="16">
        <f t="shared" si="34"/>
        <v>0</v>
      </c>
      <c r="X169" s="17" cm="1">
        <f t="array" ref="X169">$H169 *
IF(ISNUMBER(SEARCH("Rapid",$L169)),7/6,1) *
IF(OR(ISNUMBER(SEARCH("Beam",$L169)),ISNUMBER(SEARCH("Firestorm",$L169))),1, IF(ISNUMBER(SEARCH("Blast",$L169)),(4+$F169+(2-$F169)*0.5)/6*2,(4+$F169)/6)) *
IF(ISNUMBER(SEARCH("Fusion",$L169)), _xlfn.IFS(X$24-$I169 &lt;=1, 9/10, X$24-$I169 &lt;=10,(11-(X$24-$I169))/10, X$24-$I169 &gt;=11, 0),
_xlfn.IFS(X$24-$I169 &lt;=1, 5/6, X$24-$I169 &lt;=5, (7-(X$24-$I169))/6, AND(X$24-$I169 =6,NOT(_xlfn.IFNA(ISNUMBER(SEARCH("Rending",$L169)),FALSE))), (7-(X$24-$I169))/6, AND(X$24-$I169 &gt;=7,NOT(_xlfn.IFNA(ISNUMBER(SEARCH("Rending",$L169)),FALSE))), 0, X$24-$I169 =7, (7-(X$24-1-$I169))/6, X$24-$I169 =8, (7-(X$24-2-$I169))/6*2/3, X$24-$I169 =9, (7-(X$24-3-$I169))/6*1/3, TRUE, 0)) *
IF(ISNUMBER(SEARCH("Ordinance",$L169)),7/6,1) *
IF(OR(ISNUMBER(SEARCH("Melee",$L169)),ISNUMBER(SEARCH("Bypass",$L169))),1.5,1)</f>
        <v>1.0416666666666667</v>
      </c>
      <c r="Y169" s="17" cm="1">
        <f t="array" ref="Y169">$H169 *
IF(ISNUMBER(SEARCH("Rapid",$L169)),7/6,1) *
IF(OR(ISNUMBER(SEARCH("Beam",$L169)),ISNUMBER(SEARCH("Firestorm",$L169))),1, IF(ISNUMBER(SEARCH("Blast",$L169)),(4+$F169+(2-$F169)*0.5)/6*2,(4+$F169)/6)) *
IF(ISNUMBER(SEARCH("Fusion",$L169)), _xlfn.IFS(Y$24-$I169 &lt;=1, 9/10, Y$24-$I169 &lt;=10,(11-(Y$24-$I169))/10, Y$24-$I169 &gt;=11, 0),
_xlfn.IFS(Y$24-$I169 &lt;=1, 5/6, Y$24-$I169 &lt;=5, (7-(Y$24-$I169))/6, AND(Y$24-$I169 =6,NOT(_xlfn.IFNA(ISNUMBER(SEARCH("Rending",$L169)),FALSE))), (7-(Y$24-$I169))/6, AND(Y$24-$I169 &gt;=7,NOT(_xlfn.IFNA(ISNUMBER(SEARCH("Rending",$L169)),FALSE))), 0, Y$24-$I169 =7, (7-(Y$24-1-$I169))/6, Y$24-$I169 =8, (7-(Y$24-2-$I169))/6*2/3, Y$24-$I169 =9, (7-(Y$24-3-$I169))/6*1/3, TRUE, 0)) *
IF(ISNUMBER(SEARCH("Ordinance",$L169)),7/6,1) *
IF(OR(ISNUMBER(SEARCH("Melee",$L169)),ISNUMBER(SEARCH("Bypass",$L169))),1.5,1)</f>
        <v>0.83333333333333337</v>
      </c>
      <c r="Z169" s="17" cm="1">
        <f t="array" ref="Z169">$H169 *
IF(ISNUMBER(SEARCH("Rapid",$L169)),7/6,1) *
IF(OR(ISNUMBER(SEARCH("Beam",$L169)),ISNUMBER(SEARCH("Firestorm",$L169))),1, IF(ISNUMBER(SEARCH("Blast",$L169)),(4+$F169+(2-$F169)*0.5)/6*2,(4+$F169)/6)) *
IF(ISNUMBER(SEARCH("Fusion",$L169)), _xlfn.IFS(Z$24-$I169 &lt;=1, 9/10, Z$24-$I169 &lt;=10,(11-(Z$24-$I169))/10, Z$24-$I169 &gt;=11, 0),
_xlfn.IFS(Z$24-$I169 &lt;=1, 5/6, Z$24-$I169 &lt;=5, (7-(Z$24-$I169))/6, AND(Z$24-$I169 =6,NOT(_xlfn.IFNA(ISNUMBER(SEARCH("Rending",$L169)),FALSE))), (7-(Z$24-$I169))/6, AND(Z$24-$I169 &gt;=7,NOT(_xlfn.IFNA(ISNUMBER(SEARCH("Rending",$L169)),FALSE))), 0, Z$24-$I169 =7, (7-(Z$24-1-$I169))/6, Z$24-$I169 =8, (7-(Z$24-2-$I169))/6*2/3, Z$24-$I169 =9, (7-(Z$24-3-$I169))/6*1/3, TRUE, 0)) *
IF(ISNUMBER(SEARCH("Ordinance",$L169)),7/6,1) *
IF(OR(ISNUMBER(SEARCH("Melee",$L169)),ISNUMBER(SEARCH("Bypass",$L169))),1.5,1)</f>
        <v>0.625</v>
      </c>
      <c r="AA169" s="17" cm="1">
        <f t="array" ref="AA169">$H169 *
IF(ISNUMBER(SEARCH("Rapid",$L169)),7/6,1) *
IF(OR(ISNUMBER(SEARCH("Beam",$L169)),ISNUMBER(SEARCH("Firestorm",$L169))),1, IF(ISNUMBER(SEARCH("Blast",$L169)),(4+$F169+(2-$F169)*0.5)/6*2,(4+$F169)/6)) *
IF(ISNUMBER(SEARCH("Fusion",$L169)), _xlfn.IFS(AA$24-$I169 &lt;=1, 9/10, AA$24-$I169 &lt;=10,(11-(AA$24-$I169))/10, AA$24-$I169 &gt;=11, 0),
_xlfn.IFS(AA$24-$I169 &lt;=1, 5/6, AA$24-$I169 &lt;=5, (7-(AA$24-$I169))/6, AND(AA$24-$I169 =6,NOT(_xlfn.IFNA(ISNUMBER(SEARCH("Rending",$L169)),FALSE))), (7-(AA$24-$I169))/6, AND(AA$24-$I169 &gt;=7,NOT(_xlfn.IFNA(ISNUMBER(SEARCH("Rending",$L169)),FALSE))), 0, AA$24-$I169 =7, (7-(AA$24-1-$I169))/6, AA$24-$I169 =8, (7-(AA$24-2-$I169))/6*2/3, AA$24-$I169 =9, (7-(AA$24-3-$I169))/6*1/3, TRUE, 0)) *
IF(ISNUMBER(SEARCH("Ordinance",$L169)),7/6,1) *
IF(OR(ISNUMBER(SEARCH("Melee",$L169)),ISNUMBER(SEARCH("Bypass",$L169))),1.5,1)</f>
        <v>0.41666666666666669</v>
      </c>
      <c r="AB169" s="17" cm="1">
        <f t="array" ref="AB169">$H169 *
IF(ISNUMBER(SEARCH("Rapid",$L169)),7/6,1) *
IF(OR(ISNUMBER(SEARCH("Beam",$L169)),ISNUMBER(SEARCH("Firestorm",$L169))),1, IF(ISNUMBER(SEARCH("Blast",$L169)),(4+$F169+(2-$F169)*0.5)/6*2,(4+$F169)/6)) *
IF(ISNUMBER(SEARCH("Fusion",$L169)), _xlfn.IFS(AB$24-$I169 &lt;=1, 9/10, AB$24-$I169 &lt;=10,(11-(AB$24-$I169))/10, AB$24-$I169 &gt;=11, 0),
_xlfn.IFS(AB$24-$I169 &lt;=1, 5/6, AB$24-$I169 &lt;=5, (7-(AB$24-$I169))/6, AND(AB$24-$I169 =6,NOT(_xlfn.IFNA(ISNUMBER(SEARCH("Rending",$L169)),FALSE))), (7-(AB$24-$I169))/6, AND(AB$24-$I169 &gt;=7,NOT(_xlfn.IFNA(ISNUMBER(SEARCH("Rending",$L169)),FALSE))), 0, AB$24-$I169 =7, (7-(AB$24-1-$I169))/6, AB$24-$I169 =8, (7-(AB$24-2-$I169))/6*2/3, AB$24-$I169 =9, (7-(AB$24-3-$I169))/6*1/3, TRUE, 0)) *
IF(ISNUMBER(SEARCH("Ordinance",$L169)),7/6,1) *
IF(OR(ISNUMBER(SEARCH("Melee",$L169)),ISNUMBER(SEARCH("Bypass",$L169))),1.5,1)</f>
        <v>0.20833333333333334</v>
      </c>
      <c r="AC169" s="17" cm="1">
        <f t="array" ref="AC169">$H169 *
IF(ISNUMBER(SEARCH("Rapid",$L169)),7/6,1) *
IF(OR(ISNUMBER(SEARCH("Beam",$L169)),ISNUMBER(SEARCH("Firestorm",$L169))),1, IF(ISNUMBER(SEARCH("Blast",$L169)),(4+$F169+(2-$F169)*0.5)/6*2,(4+$F169)/6)) *
IF(ISNUMBER(SEARCH("Fusion",$L169)), _xlfn.IFS(AC$24-$I169 &lt;=1, 9/10, AC$24-$I169 &lt;=10,(11-(AC$24-$I169))/10, AC$24-$I169 &gt;=11, 0),
_xlfn.IFS(AC$24-$I169 &lt;=1, 5/6, AC$24-$I169 &lt;=5, (7-(AC$24-$I169))/6, AND(AC$24-$I169 =6,NOT(_xlfn.IFNA(ISNUMBER(SEARCH("Rending",$L169)),FALSE))), (7-(AC$24-$I169))/6, AND(AC$24-$I169 &gt;=7,NOT(_xlfn.IFNA(ISNUMBER(SEARCH("Rending",$L169)),FALSE))), 0, AC$24-$I169 =7, (7-(AC$24-1-$I169))/6, AC$24-$I169 =8, (7-(AC$24-2-$I169))/6*2/3, AC$24-$I169 =9, (7-(AC$24-3-$I169))/6*1/3, TRUE, 0)) *
IF(ISNUMBER(SEARCH("Ordinance",$L169)),7/6,1) *
IF(OR(ISNUMBER(SEARCH("Melee",$L169)),ISNUMBER(SEARCH("Bypass",$L169))),1.5,1)</f>
        <v>0</v>
      </c>
      <c r="AD169" s="17" cm="1">
        <f t="array" ref="AD169">$H169 *
IF(ISNUMBER(SEARCH("Rapid",$L169)),7/6,1) *
IF(OR(ISNUMBER(SEARCH("Beam",$L169)),ISNUMBER(SEARCH("Firestorm",$L169))),1, IF(ISNUMBER(SEARCH("Blast",$L169)),(4+$F169+(2-$F169)*0.5)/6*2,(4+$F169)/6)) *
IF(ISNUMBER(SEARCH("Fusion",$L169)), _xlfn.IFS(AD$24-$I169 &lt;=1, 9/10, AD$24-$I169 &lt;=10,(11-(AD$24-$I169))/10, AD$24-$I169 &gt;=11, 0),
_xlfn.IFS(AD$24-$I169 &lt;=1, 5/6, AD$24-$I169 &lt;=5, (7-(AD$24-$I169))/6, AND(AD$24-$I169 =6,NOT(_xlfn.IFNA(ISNUMBER(SEARCH("Rending",$L169)),FALSE))), (7-(AD$24-$I169))/6, AND(AD$24-$I169 &gt;=7,NOT(_xlfn.IFNA(ISNUMBER(SEARCH("Rending",$L169)),FALSE))), 0, AD$24-$I169 =7, (7-(AD$24-1-$I169))/6, AD$24-$I169 =8, (7-(AD$24-2-$I169))/6*2/3, AD$24-$I169 =9, (7-(AD$24-3-$I169))/6*1/3, TRUE, 0)) *
IF(ISNUMBER(SEARCH("Ordinance",$L169)),7/6,1) *
IF(OR(ISNUMBER(SEARCH("Melee",$L169)),ISNUMBER(SEARCH("Bypass",$L169))),1.5,1)</f>
        <v>0</v>
      </c>
      <c r="AE169" s="17" cm="1">
        <f t="array" ref="AE169">$H169 *
IF(ISNUMBER(SEARCH("Rapid",$L169)),7/6,1) *
IF(OR(ISNUMBER(SEARCH("Beam",$L169)),ISNUMBER(SEARCH("Firestorm",$L169))),1, IF(ISNUMBER(SEARCH("Blast",$L169)),(4+$F169+(2-$F169)*0.5)/6*2,(4+$F169)/6)) *
IF(ISNUMBER(SEARCH("Fusion",$L169)), _xlfn.IFS(AE$24-$I169 &lt;=1, 9/10, AE$24-$I169 &lt;=10,(11-(AE$24-$I169))/10, AE$24-$I169 &gt;=11, 0),
_xlfn.IFS(AE$24-$I169 &lt;=1, 5/6, AE$24-$I169 &lt;=5, (7-(AE$24-$I169))/6, AND(AE$24-$I169 =6,NOT(_xlfn.IFNA(ISNUMBER(SEARCH("Rending",$L169)),FALSE))), (7-(AE$24-$I169))/6, AND(AE$24-$I169 &gt;=7,NOT(_xlfn.IFNA(ISNUMBER(SEARCH("Rending",$L169)),FALSE))), 0, AE$24-$I169 =7, (7-(AE$24-1-$I169))/6, AE$24-$I169 =8, (7-(AE$24-2-$I169))/6*2/3, AE$24-$I169 =9, (7-(AE$24-3-$I169))/6*1/3, TRUE, 0)) *
IF(ISNUMBER(SEARCH("Ordinance",$L169)),7/6,1) *
IF(OR(ISNUMBER(SEARCH("Melee",$L169)),ISNUMBER(SEARCH("Bypass",$L169))),1.5,1)</f>
        <v>0</v>
      </c>
      <c r="AF169" s="17" cm="1">
        <f t="array" ref="AF169">$H169 *
IF(ISNUMBER(SEARCH("Rapid",$L169)),7/6,1) *
IF(OR(ISNUMBER(SEARCH("Beam",$L169)),ISNUMBER(SEARCH("Firestorm",$L169))),1, IF(ISNUMBER(SEARCH("Blast",$L169)),(4+$F169+(2-$F169)*0.5)/6*2,(4+$F169)/6)) *
IF(ISNUMBER(SEARCH("Fusion",$L169)), _xlfn.IFS(AF$24-$I169 &lt;=1, 9/10, AF$24-$I169 &lt;=10,(11-(AF$24-$I169))/10, AF$24-$I169 &gt;=11, 0),
_xlfn.IFS(AF$24-$I169 &lt;=1, 5/6, AF$24-$I169 &lt;=5, (7-(AF$24-$I169))/6, AND(AF$24-$I169 =6,NOT(_xlfn.IFNA(ISNUMBER(SEARCH("Rending",$L169)),FALSE))), (7-(AF$24-$I169))/6, AND(AF$24-$I169 &gt;=7,NOT(_xlfn.IFNA(ISNUMBER(SEARCH("Rending",$L169)),FALSE))), 0, AF$24-$I169 =7, (7-(AF$24-1-$I169))/6, AF$24-$I169 =8, (7-(AF$24-2-$I169))/6*2/3, AF$24-$I169 =9, (7-(AF$24-3-$I169))/6*1/3, TRUE, 0)) *
IF(ISNUMBER(SEARCH("Ordinance",$L169)),7/6,1) *
IF(OR(ISNUMBER(SEARCH("Melee",$L169)),ISNUMBER(SEARCH("Bypass",$L169))),1.5,1)</f>
        <v>0</v>
      </c>
      <c r="AG169" s="16">
        <f t="shared" si="35"/>
        <v>0</v>
      </c>
      <c r="AH169" s="16">
        <f t="shared" si="36"/>
        <v>0</v>
      </c>
      <c r="AI169" s="17" cm="1">
        <f t="array" ref="AI169">$H169 *
IF(ISNUMBER(SEARCH("Rapid",$L169)),7/6,1) *
IF(OR(ISNUMBER(SEARCH("Beam",$L169)),ISNUMBER(SEARCH("Firestorm",$L169))),1, IF(ISNUMBER(SEARCH("Blast",$L169)),(4+$G169+(2-$G169)*0.5)/6*2,(4+$G169)/6)) *
_xlfn.IFS(AI$24-$I169 &lt;=1, 5/6, AI$24-$I169 &lt;=5, (7-(AI$24-$I169))/6, AND(AI$24-$I169 =6,NOT(_xlfn.IFNA(ISNUMBER(SEARCH("Rending",$L169)),FALSE))), (7-(AI$24-$I169))/6, AND(AI$24-$I169 &gt;=7,NOT(_xlfn.IFNA(ISNUMBER(SEARCH("Rending",$L169)),FALSE))), 0, AI$24-$I169 =7, (7-(AI$24-1-$I169))/6, AI$24-$I169 =8, (7-(AI$24-2-$I169))/6*2/3, AI$24-$I169 =9, (7-(AI$24-3-$I169))/6*1/3, TRUE, 0) *
IF(ISNUMBER(SEARCH("Ordinance",$L169)),7/6,1) *
IF(OR(ISNUMBER(SEARCH("Melee",$L169)),ISNUMBER(SEARCH("Bypass",$L169))),1.5,1)</f>
        <v>0.83333333333333337</v>
      </c>
      <c r="AJ169" s="17" cm="1">
        <f t="array" ref="AJ169">$H169 *
IF(ISNUMBER(SEARCH("Rapid",$L169)),7/6,1) *
IF(OR(ISNUMBER(SEARCH("Beam",$L169)),ISNUMBER(SEARCH("Firestorm",$L169))),1, IF(ISNUMBER(SEARCH("Blast",$L169)),(4+$G169+(2-$G169)*0.5)/6*2,(4+$G169)/6)) *
_xlfn.IFS(AJ$24-$I169 &lt;=1, 5/6, AJ$24-$I169 &lt;=5, (7-(AJ$24-$I169))/6, AND(AJ$24-$I169 =6,NOT(_xlfn.IFNA(ISNUMBER(SEARCH("Rending",$L169)),FALSE))), (7-(AJ$24-$I169))/6, AND(AJ$24-$I169 &gt;=7,NOT(_xlfn.IFNA(ISNUMBER(SEARCH("Rending",$L169)),FALSE))), 0, AJ$24-$I169 =7, (7-(AJ$24-1-$I169))/6, AJ$24-$I169 =8, (7-(AJ$24-2-$I169))/6*2/3, AJ$24-$I169 =9, (7-(AJ$24-3-$I169))/6*1/3, TRUE, 0) *
IF(ISNUMBER(SEARCH("Ordinance",$L169)),7/6,1) *
IF(OR(ISNUMBER(SEARCH("Melee",$L169)),ISNUMBER(SEARCH("Bypass",$L169))),1.5,1)</f>
        <v>0.66666666666666663</v>
      </c>
      <c r="AK169" s="17" cm="1">
        <f t="array" ref="AK169">$H169 *
IF(ISNUMBER(SEARCH("Rapid",$L169)),7/6,1) *
IF(OR(ISNUMBER(SEARCH("Beam",$L169)),ISNUMBER(SEARCH("Firestorm",$L169))),1, IF(ISNUMBER(SEARCH("Blast",$L169)),(4+$G169+(2-$G169)*0.5)/6*2,(4+$G169)/6)) *
_xlfn.IFS(AK$24-$I169 &lt;=1, 5/6, AK$24-$I169 &lt;=5, (7-(AK$24-$I169))/6, AND(AK$24-$I169 =6,NOT(_xlfn.IFNA(ISNUMBER(SEARCH("Rending",$L169)),FALSE))), (7-(AK$24-$I169))/6, AND(AK$24-$I169 &gt;=7,NOT(_xlfn.IFNA(ISNUMBER(SEARCH("Rending",$L169)),FALSE))), 0, AK$24-$I169 =7, (7-(AK$24-1-$I169))/6, AK$24-$I169 =8, (7-(AK$24-2-$I169))/6*2/3, AK$24-$I169 =9, (7-(AK$24-3-$I169))/6*1/3, TRUE, 0) *
IF(ISNUMBER(SEARCH("Ordinance",$L169)),7/6,1) *
IF(OR(ISNUMBER(SEARCH("Melee",$L169)),ISNUMBER(SEARCH("Bypass",$L169))),1.5,1)</f>
        <v>0.5</v>
      </c>
      <c r="AL169" s="17" cm="1">
        <f t="array" ref="AL169">$H169 *
IF(ISNUMBER(SEARCH("Rapid",$L169)),7/6,1) *
IF(OR(ISNUMBER(SEARCH("Beam",$L169)),ISNUMBER(SEARCH("Firestorm",$L169))),1, IF(ISNUMBER(SEARCH("Blast",$L169)),(4+$G169+(2-$G169)*0.5)/6*2,(4+$G169)/6)) *
_xlfn.IFS(AL$24-$I169 &lt;=1, 5/6, AL$24-$I169 &lt;=5, (7-(AL$24-$I169))/6, AND(AL$24-$I169 =6,NOT(_xlfn.IFNA(ISNUMBER(SEARCH("Rending",$L169)),FALSE))), (7-(AL$24-$I169))/6, AND(AL$24-$I169 &gt;=7,NOT(_xlfn.IFNA(ISNUMBER(SEARCH("Rending",$L169)),FALSE))), 0, AL$24-$I169 =7, (7-(AL$24-1-$I169))/6, AL$24-$I169 =8, (7-(AL$24-2-$I169))/6*2/3, AL$24-$I169 =9, (7-(AL$24-3-$I169))/6*1/3, TRUE, 0) *
IF(ISNUMBER(SEARCH("Ordinance",$L169)),7/6,1) *
IF(OR(ISNUMBER(SEARCH("Melee",$L169)),ISNUMBER(SEARCH("Bypass",$L169))),1.5,1)</f>
        <v>0.33333333333333331</v>
      </c>
      <c r="AM169" s="17" cm="1">
        <f t="array" ref="AM169">$H169 *
IF(ISNUMBER(SEARCH("Rapid",$L169)),7/6,1) *
IF(OR(ISNUMBER(SEARCH("Beam",$L169)),ISNUMBER(SEARCH("Firestorm",$L169))),1, IF(ISNUMBER(SEARCH("Blast",$L169)),(4+$G169+(2-$G169)*0.5)/6*2,(4+$G169)/6)) *
_xlfn.IFS(AM$24-$I169 &lt;=1, 5/6, AM$24-$I169 &lt;=5, (7-(AM$24-$I169))/6, AND(AM$24-$I169 =6,NOT(_xlfn.IFNA(ISNUMBER(SEARCH("Rending",$L169)),FALSE))), (7-(AM$24-$I169))/6, AND(AM$24-$I169 &gt;=7,NOT(_xlfn.IFNA(ISNUMBER(SEARCH("Rending",$L169)),FALSE))), 0, AM$24-$I169 =7, (7-(AM$24-1-$I169))/6, AM$24-$I169 =8, (7-(AM$24-2-$I169))/6*2/3, AM$24-$I169 =9, (7-(AM$24-3-$I169))/6*1/3, TRUE, 0) *
IF(ISNUMBER(SEARCH("Ordinance",$L169)),7/6,1) *
IF(OR(ISNUMBER(SEARCH("Melee",$L169)),ISNUMBER(SEARCH("Bypass",$L169))),1.5,1)</f>
        <v>0.16666666666666666</v>
      </c>
      <c r="AN169" s="17" cm="1">
        <f t="array" ref="AN169">$H169 *
IF(ISNUMBER(SEARCH("Rapid",$L169)),7/6,1) *
IF(OR(ISNUMBER(SEARCH("Beam",$L169)),ISNUMBER(SEARCH("Firestorm",$L169))),1, IF(ISNUMBER(SEARCH("Blast",$L169)),(4+$G169+(2-$G169)*0.5)/6*2,(4+$G169)/6)) *
_xlfn.IFS(AN$24-$I169 &lt;=1, 5/6, AN$24-$I169 &lt;=5, (7-(AN$24-$I169))/6, AND(AN$24-$I169 =6,NOT(_xlfn.IFNA(ISNUMBER(SEARCH("Rending",$L169)),FALSE))), (7-(AN$24-$I169))/6, AND(AN$24-$I169 &gt;=7,NOT(_xlfn.IFNA(ISNUMBER(SEARCH("Rending",$L169)),FALSE))), 0, AN$24-$I169 =7, (7-(AN$24-1-$I169))/6, AN$24-$I169 =8, (7-(AN$24-2-$I169))/6*2/3, AN$24-$I169 =9, (7-(AN$24-3-$I169))/6*1/3, TRUE, 0) *
IF(ISNUMBER(SEARCH("Ordinance",$L169)),7/6,1) *
IF(OR(ISNUMBER(SEARCH("Melee",$L169)),ISNUMBER(SEARCH("Bypass",$L169))),1.5,1)</f>
        <v>0</v>
      </c>
      <c r="AO169" s="17" cm="1">
        <f t="array" ref="AO169">$H169 *
IF(ISNUMBER(SEARCH("Rapid",$L169)),7/6,1) *
IF(OR(ISNUMBER(SEARCH("Beam",$L169)),ISNUMBER(SEARCH("Firestorm",$L169))),1, IF(ISNUMBER(SEARCH("Blast",$L169)),(4+$G169+(2-$G169)*0.5)/6*2,(4+$G169)/6)) *
_xlfn.IFS(AO$24-$I169 &lt;=1, 5/6, AO$24-$I169 &lt;=5, (7-(AO$24-$I169))/6, AND(AO$24-$I169 =6,NOT(_xlfn.IFNA(ISNUMBER(SEARCH("Rending",$L169)),FALSE))), (7-(AO$24-$I169))/6, AND(AO$24-$I169 &gt;=7,NOT(_xlfn.IFNA(ISNUMBER(SEARCH("Rending",$L169)),FALSE))), 0, AO$24-$I169 =7, (7-(AO$24-1-$I169))/6, AO$24-$I169 =8, (7-(AO$24-2-$I169))/6*2/3, AO$24-$I169 =9, (7-(AO$24-3-$I169))/6*1/3, TRUE, 0) *
IF(ISNUMBER(SEARCH("Ordinance",$L169)),7/6,1) *
IF(OR(ISNUMBER(SEARCH("Melee",$L169)),ISNUMBER(SEARCH("Bypass",$L169))),1.5,1)</f>
        <v>0</v>
      </c>
      <c r="AP169" s="17" cm="1">
        <f t="array" ref="AP169">$H169 *
IF(ISNUMBER(SEARCH("Rapid",$L169)),7/6,1) *
IF(OR(ISNUMBER(SEARCH("Beam",$L169)),ISNUMBER(SEARCH("Firestorm",$L169))),1, IF(ISNUMBER(SEARCH("Blast",$L169)),(4+$G169+(2-$G169)*0.5)/6*2,(4+$G169)/6)) *
_xlfn.IFS(AP$24-$I169 &lt;=1, 5/6, AP$24-$I169 &lt;=5, (7-(AP$24-$I169))/6, AND(AP$24-$I169 =6,NOT(_xlfn.IFNA(ISNUMBER(SEARCH("Rending",$L169)),FALSE))), (7-(AP$24-$I169))/6, AND(AP$24-$I169 &gt;=7,NOT(_xlfn.IFNA(ISNUMBER(SEARCH("Rending",$L169)),FALSE))), 0, AP$24-$I169 =7, (7-(AP$24-1-$I169))/6, AP$24-$I169 =8, (7-(AP$24-2-$I169))/6*2/3, AP$24-$I169 =9, (7-(AP$24-3-$I169))/6*1/3, TRUE, 0) *
IF(ISNUMBER(SEARCH("Ordinance",$L169)),7/6,1) *
IF(OR(ISNUMBER(SEARCH("Melee",$L169)),ISNUMBER(SEARCH("Bypass",$L169))),1.5,1)</f>
        <v>0</v>
      </c>
      <c r="AQ169" s="17" cm="1">
        <f t="array" ref="AQ169">$H169 *
IF(ISNUMBER(SEARCH("Rapid",$L169)),7/6,1) *
IF(OR(ISNUMBER(SEARCH("Beam",$L169)),ISNUMBER(SEARCH("Firestorm",$L169))),1, IF(ISNUMBER(SEARCH("Blast",$L169)),(4+$G169+(2-$G169)*0.5)/6*2,(4+$G169)/6)) *
_xlfn.IFS(AQ$24-$I169 &lt;=1, 5/6, AQ$24-$I169 &lt;=5, (7-(AQ$24-$I169))/6, AND(AQ$24-$I169 =6,NOT(_xlfn.IFNA(ISNUMBER(SEARCH("Rending",$L169)),FALSE))), (7-(AQ$24-$I169))/6, AND(AQ$24-$I169 &gt;=7,NOT(_xlfn.IFNA(ISNUMBER(SEARCH("Rending",$L169)),FALSE))), 0, AQ$24-$I169 =7, (7-(AQ$24-1-$I169))/6, AQ$24-$I169 =8, (7-(AQ$24-2-$I169))/6*2/3, AQ$24-$I169 =9, (7-(AQ$24-3-$I169))/6*1/3, TRUE, 0) *
IF(ISNUMBER(SEARCH("Ordinance",$L169)),7/6,1) *
IF(OR(ISNUMBER(SEARCH("Melee",$L169)),ISNUMBER(SEARCH("Bypass",$L169))),1.5,1)</f>
        <v>0</v>
      </c>
      <c r="AS169" s="16">
        <f t="shared" si="41"/>
        <v>0</v>
      </c>
      <c r="AT169" s="16">
        <f t="shared" si="42"/>
        <v>0</v>
      </c>
      <c r="AU169" s="16">
        <f t="shared" si="43"/>
        <v>0.24305555555555555</v>
      </c>
      <c r="AV169" s="2">
        <v>10</v>
      </c>
    </row>
    <row r="170" spans="1:48" x14ac:dyDescent="0.3">
      <c r="A170" t="s">
        <v>477</v>
      </c>
      <c r="B170" s="3">
        <v>8</v>
      </c>
      <c r="C170" s="3">
        <v>24</v>
      </c>
      <c r="D170" s="3">
        <v>1</v>
      </c>
      <c r="E170" s="3">
        <v>1</v>
      </c>
      <c r="F170" s="10">
        <v>1</v>
      </c>
      <c r="G170" s="10"/>
      <c r="H170" s="3">
        <v>2</v>
      </c>
      <c r="I170" s="3">
        <v>5</v>
      </c>
      <c r="K170" s="3">
        <v>10</v>
      </c>
      <c r="L170" s="3" t="s">
        <v>482</v>
      </c>
      <c r="M170" s="3" t="s">
        <v>225</v>
      </c>
      <c r="V170" s="16">
        <f t="shared" si="33"/>
        <v>0.55555555555555558</v>
      </c>
      <c r="W170" s="16">
        <f t="shared" si="34"/>
        <v>0.83333333333333337</v>
      </c>
      <c r="X170" s="17" cm="1">
        <f t="array" ref="X170">$H170 *
IF(ISNUMBER(SEARCH("Rapid",$L170)),7/6,1) *
IF(OR(ISNUMBER(SEARCH("Beam",$L170)),ISNUMBER(SEARCH("Firestorm",$L170))),1, IF(ISNUMBER(SEARCH("Blast",$L170)),(4+$F170+(2-$F170)*0.5)/6*2,(4+$F170)/6)) *
IF(ISNUMBER(SEARCH("Fusion",$L170)), _xlfn.IFS(X$24-$I170 &lt;=1, 9/10, X$24-$I170 &lt;=10,(11-(X$24-$I170))/10, X$24-$I170 &gt;=11, 0),
_xlfn.IFS(X$24-$I170 &lt;=1, 5/6, X$24-$I170 &lt;=5, (7-(X$24-$I170))/6, AND(X$24-$I170 =6,NOT(_xlfn.IFNA(ISNUMBER(SEARCH("Rending",$L170)),FALSE))), (7-(X$24-$I170))/6, AND(X$24-$I170 &gt;=7,NOT(_xlfn.IFNA(ISNUMBER(SEARCH("Rending",$L170)),FALSE))), 0, X$24-$I170 =7, (7-(X$24-1-$I170))/6, X$24-$I170 =8, (7-(X$24-2-$I170))/6*2/3, X$24-$I170 =9, (7-(X$24-3-$I170))/6*1/3, TRUE, 0)) *
IF(ISNUMBER(SEARCH("Ordinance",$L170)),7/6,1) *
IF(OR(ISNUMBER(SEARCH("Melee",$L170)),ISNUMBER(SEARCH("Bypass",$L170))),1.5,1)</f>
        <v>0.83333333333333337</v>
      </c>
      <c r="Y170" s="17" cm="1">
        <f t="array" ref="Y170">$H170 *
IF(ISNUMBER(SEARCH("Rapid",$L170)),7/6,1) *
IF(OR(ISNUMBER(SEARCH("Beam",$L170)),ISNUMBER(SEARCH("Firestorm",$L170))),1, IF(ISNUMBER(SEARCH("Blast",$L170)),(4+$F170+(2-$F170)*0.5)/6*2,(4+$F170)/6)) *
IF(ISNUMBER(SEARCH("Fusion",$L170)), _xlfn.IFS(Y$24-$I170 &lt;=1, 9/10, Y$24-$I170 &lt;=10,(11-(Y$24-$I170))/10, Y$24-$I170 &gt;=11, 0),
_xlfn.IFS(Y$24-$I170 &lt;=1, 5/6, Y$24-$I170 &lt;=5, (7-(Y$24-$I170))/6, AND(Y$24-$I170 =6,NOT(_xlfn.IFNA(ISNUMBER(SEARCH("Rending",$L170)),FALSE))), (7-(Y$24-$I170))/6, AND(Y$24-$I170 &gt;=7,NOT(_xlfn.IFNA(ISNUMBER(SEARCH("Rending",$L170)),FALSE))), 0, Y$24-$I170 =7, (7-(Y$24-1-$I170))/6, Y$24-$I170 =8, (7-(Y$24-2-$I170))/6*2/3, Y$24-$I170 =9, (7-(Y$24-3-$I170))/6*1/3, TRUE, 0)) *
IF(ISNUMBER(SEARCH("Ordinance",$L170)),7/6,1) *
IF(OR(ISNUMBER(SEARCH("Melee",$L170)),ISNUMBER(SEARCH("Bypass",$L170))),1.5,1)</f>
        <v>0.55555555555555558</v>
      </c>
      <c r="Z170" s="17" cm="1">
        <f t="array" ref="Z170">$H170 *
IF(ISNUMBER(SEARCH("Rapid",$L170)),7/6,1) *
IF(OR(ISNUMBER(SEARCH("Beam",$L170)),ISNUMBER(SEARCH("Firestorm",$L170))),1, IF(ISNUMBER(SEARCH("Blast",$L170)),(4+$F170+(2-$F170)*0.5)/6*2,(4+$F170)/6)) *
IF(ISNUMBER(SEARCH("Fusion",$L170)), _xlfn.IFS(Z$24-$I170 &lt;=1, 9/10, Z$24-$I170 &lt;=10,(11-(Z$24-$I170))/10, Z$24-$I170 &gt;=11, 0),
_xlfn.IFS(Z$24-$I170 &lt;=1, 5/6, Z$24-$I170 &lt;=5, (7-(Z$24-$I170))/6, AND(Z$24-$I170 =6,NOT(_xlfn.IFNA(ISNUMBER(SEARCH("Rending",$L170)),FALSE))), (7-(Z$24-$I170))/6, AND(Z$24-$I170 &gt;=7,NOT(_xlfn.IFNA(ISNUMBER(SEARCH("Rending",$L170)),FALSE))), 0, Z$24-$I170 =7, (7-(Z$24-1-$I170))/6, Z$24-$I170 =8, (7-(Z$24-2-$I170))/6*2/3, Z$24-$I170 =9, (7-(Z$24-3-$I170))/6*1/3, TRUE, 0)) *
IF(ISNUMBER(SEARCH("Ordinance",$L170)),7/6,1) *
IF(OR(ISNUMBER(SEARCH("Melee",$L170)),ISNUMBER(SEARCH("Bypass",$L170))),1.5,1)</f>
        <v>0.27777777777777779</v>
      </c>
      <c r="AA170" s="17" cm="1">
        <f t="array" ref="AA170">$H170 *
IF(ISNUMBER(SEARCH("Rapid",$L170)),7/6,1) *
IF(OR(ISNUMBER(SEARCH("Beam",$L170)),ISNUMBER(SEARCH("Firestorm",$L170))),1, IF(ISNUMBER(SEARCH("Blast",$L170)),(4+$F170+(2-$F170)*0.5)/6*2,(4+$F170)/6)) *
IF(ISNUMBER(SEARCH("Fusion",$L170)), _xlfn.IFS(AA$24-$I170 &lt;=1, 9/10, AA$24-$I170 &lt;=10,(11-(AA$24-$I170))/10, AA$24-$I170 &gt;=11, 0),
_xlfn.IFS(AA$24-$I170 &lt;=1, 5/6, AA$24-$I170 &lt;=5, (7-(AA$24-$I170))/6, AND(AA$24-$I170 =6,NOT(_xlfn.IFNA(ISNUMBER(SEARCH("Rending",$L170)),FALSE))), (7-(AA$24-$I170))/6, AND(AA$24-$I170 &gt;=7,NOT(_xlfn.IFNA(ISNUMBER(SEARCH("Rending",$L170)),FALSE))), 0, AA$24-$I170 =7, (7-(AA$24-1-$I170))/6, AA$24-$I170 =8, (7-(AA$24-2-$I170))/6*2/3, AA$24-$I170 =9, (7-(AA$24-3-$I170))/6*1/3, TRUE, 0)) *
IF(ISNUMBER(SEARCH("Ordinance",$L170)),7/6,1) *
IF(OR(ISNUMBER(SEARCH("Melee",$L170)),ISNUMBER(SEARCH("Bypass",$L170))),1.5,1)</f>
        <v>0</v>
      </c>
      <c r="AB170" s="17" cm="1">
        <f t="array" ref="AB170">$H170 *
IF(ISNUMBER(SEARCH("Rapid",$L170)),7/6,1) *
IF(OR(ISNUMBER(SEARCH("Beam",$L170)),ISNUMBER(SEARCH("Firestorm",$L170))),1, IF(ISNUMBER(SEARCH("Blast",$L170)),(4+$F170+(2-$F170)*0.5)/6*2,(4+$F170)/6)) *
IF(ISNUMBER(SEARCH("Fusion",$L170)), _xlfn.IFS(AB$24-$I170 &lt;=1, 9/10, AB$24-$I170 &lt;=10,(11-(AB$24-$I170))/10, AB$24-$I170 &gt;=11, 0),
_xlfn.IFS(AB$24-$I170 &lt;=1, 5/6, AB$24-$I170 &lt;=5, (7-(AB$24-$I170))/6, AND(AB$24-$I170 =6,NOT(_xlfn.IFNA(ISNUMBER(SEARCH("Rending",$L170)),FALSE))), (7-(AB$24-$I170))/6, AND(AB$24-$I170 &gt;=7,NOT(_xlfn.IFNA(ISNUMBER(SEARCH("Rending",$L170)),FALSE))), 0, AB$24-$I170 =7, (7-(AB$24-1-$I170))/6, AB$24-$I170 =8, (7-(AB$24-2-$I170))/6*2/3, AB$24-$I170 =9, (7-(AB$24-3-$I170))/6*1/3, TRUE, 0)) *
IF(ISNUMBER(SEARCH("Ordinance",$L170)),7/6,1) *
IF(OR(ISNUMBER(SEARCH("Melee",$L170)),ISNUMBER(SEARCH("Bypass",$L170))),1.5,1)</f>
        <v>0</v>
      </c>
      <c r="AC170" s="17" cm="1">
        <f t="array" ref="AC170">$H170 *
IF(ISNUMBER(SEARCH("Rapid",$L170)),7/6,1) *
IF(OR(ISNUMBER(SEARCH("Beam",$L170)),ISNUMBER(SEARCH("Firestorm",$L170))),1, IF(ISNUMBER(SEARCH("Blast",$L170)),(4+$F170+(2-$F170)*0.5)/6*2,(4+$F170)/6)) *
IF(ISNUMBER(SEARCH("Fusion",$L170)), _xlfn.IFS(AC$24-$I170 &lt;=1, 9/10, AC$24-$I170 &lt;=10,(11-(AC$24-$I170))/10, AC$24-$I170 &gt;=11, 0),
_xlfn.IFS(AC$24-$I170 &lt;=1, 5/6, AC$24-$I170 &lt;=5, (7-(AC$24-$I170))/6, AND(AC$24-$I170 =6,NOT(_xlfn.IFNA(ISNUMBER(SEARCH("Rending",$L170)),FALSE))), (7-(AC$24-$I170))/6, AND(AC$24-$I170 &gt;=7,NOT(_xlfn.IFNA(ISNUMBER(SEARCH("Rending",$L170)),FALSE))), 0, AC$24-$I170 =7, (7-(AC$24-1-$I170))/6, AC$24-$I170 =8, (7-(AC$24-2-$I170))/6*2/3, AC$24-$I170 =9, (7-(AC$24-3-$I170))/6*1/3, TRUE, 0)) *
IF(ISNUMBER(SEARCH("Ordinance",$L170)),7/6,1) *
IF(OR(ISNUMBER(SEARCH("Melee",$L170)),ISNUMBER(SEARCH("Bypass",$L170))),1.5,1)</f>
        <v>0</v>
      </c>
      <c r="AD170" s="17" cm="1">
        <f t="array" ref="AD170">$H170 *
IF(ISNUMBER(SEARCH("Rapid",$L170)),7/6,1) *
IF(OR(ISNUMBER(SEARCH("Beam",$L170)),ISNUMBER(SEARCH("Firestorm",$L170))),1, IF(ISNUMBER(SEARCH("Blast",$L170)),(4+$F170+(2-$F170)*0.5)/6*2,(4+$F170)/6)) *
IF(ISNUMBER(SEARCH("Fusion",$L170)), _xlfn.IFS(AD$24-$I170 &lt;=1, 9/10, AD$24-$I170 &lt;=10,(11-(AD$24-$I170))/10, AD$24-$I170 &gt;=11, 0),
_xlfn.IFS(AD$24-$I170 &lt;=1, 5/6, AD$24-$I170 &lt;=5, (7-(AD$24-$I170))/6, AND(AD$24-$I170 =6,NOT(_xlfn.IFNA(ISNUMBER(SEARCH("Rending",$L170)),FALSE))), (7-(AD$24-$I170))/6, AND(AD$24-$I170 &gt;=7,NOT(_xlfn.IFNA(ISNUMBER(SEARCH("Rending",$L170)),FALSE))), 0, AD$24-$I170 =7, (7-(AD$24-1-$I170))/6, AD$24-$I170 =8, (7-(AD$24-2-$I170))/6*2/3, AD$24-$I170 =9, (7-(AD$24-3-$I170))/6*1/3, TRUE, 0)) *
IF(ISNUMBER(SEARCH("Ordinance",$L170)),7/6,1) *
IF(OR(ISNUMBER(SEARCH("Melee",$L170)),ISNUMBER(SEARCH("Bypass",$L170))),1.5,1)</f>
        <v>0</v>
      </c>
      <c r="AE170" s="17" cm="1">
        <f t="array" ref="AE170">$H170 *
IF(ISNUMBER(SEARCH("Rapid",$L170)),7/6,1) *
IF(OR(ISNUMBER(SEARCH("Beam",$L170)),ISNUMBER(SEARCH("Firestorm",$L170))),1, IF(ISNUMBER(SEARCH("Blast",$L170)),(4+$F170+(2-$F170)*0.5)/6*2,(4+$F170)/6)) *
IF(ISNUMBER(SEARCH("Fusion",$L170)), _xlfn.IFS(AE$24-$I170 &lt;=1, 9/10, AE$24-$I170 &lt;=10,(11-(AE$24-$I170))/10, AE$24-$I170 &gt;=11, 0),
_xlfn.IFS(AE$24-$I170 &lt;=1, 5/6, AE$24-$I170 &lt;=5, (7-(AE$24-$I170))/6, AND(AE$24-$I170 =6,NOT(_xlfn.IFNA(ISNUMBER(SEARCH("Rending",$L170)),FALSE))), (7-(AE$24-$I170))/6, AND(AE$24-$I170 &gt;=7,NOT(_xlfn.IFNA(ISNUMBER(SEARCH("Rending",$L170)),FALSE))), 0, AE$24-$I170 =7, (7-(AE$24-1-$I170))/6, AE$24-$I170 =8, (7-(AE$24-2-$I170))/6*2/3, AE$24-$I170 =9, (7-(AE$24-3-$I170))/6*1/3, TRUE, 0)) *
IF(ISNUMBER(SEARCH("Ordinance",$L170)),7/6,1) *
IF(OR(ISNUMBER(SEARCH("Melee",$L170)),ISNUMBER(SEARCH("Bypass",$L170))),1.5,1)</f>
        <v>0</v>
      </c>
      <c r="AF170" s="17" cm="1">
        <f t="array" ref="AF170">$H170 *
IF(ISNUMBER(SEARCH("Rapid",$L170)),7/6,1) *
IF(OR(ISNUMBER(SEARCH("Beam",$L170)),ISNUMBER(SEARCH("Firestorm",$L170))),1, IF(ISNUMBER(SEARCH("Blast",$L170)),(4+$F170+(2-$F170)*0.5)/6*2,(4+$F170)/6)) *
IF(ISNUMBER(SEARCH("Fusion",$L170)), _xlfn.IFS(AF$24-$I170 &lt;=1, 9/10, AF$24-$I170 &lt;=10,(11-(AF$24-$I170))/10, AF$24-$I170 &gt;=11, 0),
_xlfn.IFS(AF$24-$I170 &lt;=1, 5/6, AF$24-$I170 &lt;=5, (7-(AF$24-$I170))/6, AND(AF$24-$I170 =6,NOT(_xlfn.IFNA(ISNUMBER(SEARCH("Rending",$L170)),FALSE))), (7-(AF$24-$I170))/6, AND(AF$24-$I170 &gt;=7,NOT(_xlfn.IFNA(ISNUMBER(SEARCH("Rending",$L170)),FALSE))), 0, AF$24-$I170 =7, (7-(AF$24-1-$I170))/6, AF$24-$I170 =8, (7-(AF$24-2-$I170))/6*2/3, AF$24-$I170 =9, (7-(AF$24-3-$I170))/6*1/3, TRUE, 0)) *
IF(ISNUMBER(SEARCH("Ordinance",$L170)),7/6,1) *
IF(OR(ISNUMBER(SEARCH("Melee",$L170)),ISNUMBER(SEARCH("Bypass",$L170))),1.5,1)</f>
        <v>0</v>
      </c>
      <c r="AG170" s="16">
        <f t="shared" si="35"/>
        <v>0.44444444444444442</v>
      </c>
      <c r="AH170" s="16">
        <f t="shared" si="36"/>
        <v>0.66666666666666663</v>
      </c>
      <c r="AI170" s="17" cm="1">
        <f t="array" ref="AI170">$H170 *
IF(ISNUMBER(SEARCH("Rapid",$L170)),7/6,1) *
IF(OR(ISNUMBER(SEARCH("Beam",$L170)),ISNUMBER(SEARCH("Firestorm",$L170))),1, IF(ISNUMBER(SEARCH("Blast",$L170)),(4+$G170+(2-$G170)*0.5)/6*2,(4+$G170)/6)) *
_xlfn.IFS(AI$24-$I170 &lt;=1, 5/6, AI$24-$I170 &lt;=5, (7-(AI$24-$I170))/6, AND(AI$24-$I170 =6,NOT(_xlfn.IFNA(ISNUMBER(SEARCH("Rending",$L170)),FALSE))), (7-(AI$24-$I170))/6, AND(AI$24-$I170 &gt;=7,NOT(_xlfn.IFNA(ISNUMBER(SEARCH("Rending",$L170)),FALSE))), 0, AI$24-$I170 =7, (7-(AI$24-1-$I170))/6, AI$24-$I170 =8, (7-(AI$24-2-$I170))/6*2/3, AI$24-$I170 =9, (7-(AI$24-3-$I170))/6*1/3, TRUE, 0) *
IF(ISNUMBER(SEARCH("Ordinance",$L170)),7/6,1) *
IF(OR(ISNUMBER(SEARCH("Melee",$L170)),ISNUMBER(SEARCH("Bypass",$L170))),1.5,1)</f>
        <v>0.66666666666666663</v>
      </c>
      <c r="AJ170" s="17" cm="1">
        <f t="array" ref="AJ170">$H170 *
IF(ISNUMBER(SEARCH("Rapid",$L170)),7/6,1) *
IF(OR(ISNUMBER(SEARCH("Beam",$L170)),ISNUMBER(SEARCH("Firestorm",$L170))),1, IF(ISNUMBER(SEARCH("Blast",$L170)),(4+$G170+(2-$G170)*0.5)/6*2,(4+$G170)/6)) *
_xlfn.IFS(AJ$24-$I170 &lt;=1, 5/6, AJ$24-$I170 &lt;=5, (7-(AJ$24-$I170))/6, AND(AJ$24-$I170 =6,NOT(_xlfn.IFNA(ISNUMBER(SEARCH("Rending",$L170)),FALSE))), (7-(AJ$24-$I170))/6, AND(AJ$24-$I170 &gt;=7,NOT(_xlfn.IFNA(ISNUMBER(SEARCH("Rending",$L170)),FALSE))), 0, AJ$24-$I170 =7, (7-(AJ$24-1-$I170))/6, AJ$24-$I170 =8, (7-(AJ$24-2-$I170))/6*2/3, AJ$24-$I170 =9, (7-(AJ$24-3-$I170))/6*1/3, TRUE, 0) *
IF(ISNUMBER(SEARCH("Ordinance",$L170)),7/6,1) *
IF(OR(ISNUMBER(SEARCH("Melee",$L170)),ISNUMBER(SEARCH("Bypass",$L170))),1.5,1)</f>
        <v>0.44444444444444442</v>
      </c>
      <c r="AK170" s="17" cm="1">
        <f t="array" ref="AK170">$H170 *
IF(ISNUMBER(SEARCH("Rapid",$L170)),7/6,1) *
IF(OR(ISNUMBER(SEARCH("Beam",$L170)),ISNUMBER(SEARCH("Firestorm",$L170))),1, IF(ISNUMBER(SEARCH("Blast",$L170)),(4+$G170+(2-$G170)*0.5)/6*2,(4+$G170)/6)) *
_xlfn.IFS(AK$24-$I170 &lt;=1, 5/6, AK$24-$I170 &lt;=5, (7-(AK$24-$I170))/6, AND(AK$24-$I170 =6,NOT(_xlfn.IFNA(ISNUMBER(SEARCH("Rending",$L170)),FALSE))), (7-(AK$24-$I170))/6, AND(AK$24-$I170 &gt;=7,NOT(_xlfn.IFNA(ISNUMBER(SEARCH("Rending",$L170)),FALSE))), 0, AK$24-$I170 =7, (7-(AK$24-1-$I170))/6, AK$24-$I170 =8, (7-(AK$24-2-$I170))/6*2/3, AK$24-$I170 =9, (7-(AK$24-3-$I170))/6*1/3, TRUE, 0) *
IF(ISNUMBER(SEARCH("Ordinance",$L170)),7/6,1) *
IF(OR(ISNUMBER(SEARCH("Melee",$L170)),ISNUMBER(SEARCH("Bypass",$L170))),1.5,1)</f>
        <v>0.22222222222222221</v>
      </c>
      <c r="AL170" s="17" cm="1">
        <f t="array" ref="AL170">$H170 *
IF(ISNUMBER(SEARCH("Rapid",$L170)),7/6,1) *
IF(OR(ISNUMBER(SEARCH("Beam",$L170)),ISNUMBER(SEARCH("Firestorm",$L170))),1, IF(ISNUMBER(SEARCH("Blast",$L170)),(4+$G170+(2-$G170)*0.5)/6*2,(4+$G170)/6)) *
_xlfn.IFS(AL$24-$I170 &lt;=1, 5/6, AL$24-$I170 &lt;=5, (7-(AL$24-$I170))/6, AND(AL$24-$I170 =6,NOT(_xlfn.IFNA(ISNUMBER(SEARCH("Rending",$L170)),FALSE))), (7-(AL$24-$I170))/6, AND(AL$24-$I170 &gt;=7,NOT(_xlfn.IFNA(ISNUMBER(SEARCH("Rending",$L170)),FALSE))), 0, AL$24-$I170 =7, (7-(AL$24-1-$I170))/6, AL$24-$I170 =8, (7-(AL$24-2-$I170))/6*2/3, AL$24-$I170 =9, (7-(AL$24-3-$I170))/6*1/3, TRUE, 0) *
IF(ISNUMBER(SEARCH("Ordinance",$L170)),7/6,1) *
IF(OR(ISNUMBER(SEARCH("Melee",$L170)),ISNUMBER(SEARCH("Bypass",$L170))),1.5,1)</f>
        <v>0</v>
      </c>
      <c r="AM170" s="17" cm="1">
        <f t="array" ref="AM170">$H170 *
IF(ISNUMBER(SEARCH("Rapid",$L170)),7/6,1) *
IF(OR(ISNUMBER(SEARCH("Beam",$L170)),ISNUMBER(SEARCH("Firestorm",$L170))),1, IF(ISNUMBER(SEARCH("Blast",$L170)),(4+$G170+(2-$G170)*0.5)/6*2,(4+$G170)/6)) *
_xlfn.IFS(AM$24-$I170 &lt;=1, 5/6, AM$24-$I170 &lt;=5, (7-(AM$24-$I170))/6, AND(AM$24-$I170 =6,NOT(_xlfn.IFNA(ISNUMBER(SEARCH("Rending",$L170)),FALSE))), (7-(AM$24-$I170))/6, AND(AM$24-$I170 &gt;=7,NOT(_xlfn.IFNA(ISNUMBER(SEARCH("Rending",$L170)),FALSE))), 0, AM$24-$I170 =7, (7-(AM$24-1-$I170))/6, AM$24-$I170 =8, (7-(AM$24-2-$I170))/6*2/3, AM$24-$I170 =9, (7-(AM$24-3-$I170))/6*1/3, TRUE, 0) *
IF(ISNUMBER(SEARCH("Ordinance",$L170)),7/6,1) *
IF(OR(ISNUMBER(SEARCH("Melee",$L170)),ISNUMBER(SEARCH("Bypass",$L170))),1.5,1)</f>
        <v>0</v>
      </c>
      <c r="AN170" s="17" cm="1">
        <f t="array" ref="AN170">$H170 *
IF(ISNUMBER(SEARCH("Rapid",$L170)),7/6,1) *
IF(OR(ISNUMBER(SEARCH("Beam",$L170)),ISNUMBER(SEARCH("Firestorm",$L170))),1, IF(ISNUMBER(SEARCH("Blast",$L170)),(4+$G170+(2-$G170)*0.5)/6*2,(4+$G170)/6)) *
_xlfn.IFS(AN$24-$I170 &lt;=1, 5/6, AN$24-$I170 &lt;=5, (7-(AN$24-$I170))/6, AND(AN$24-$I170 =6,NOT(_xlfn.IFNA(ISNUMBER(SEARCH("Rending",$L170)),FALSE))), (7-(AN$24-$I170))/6, AND(AN$24-$I170 &gt;=7,NOT(_xlfn.IFNA(ISNUMBER(SEARCH("Rending",$L170)),FALSE))), 0, AN$24-$I170 =7, (7-(AN$24-1-$I170))/6, AN$24-$I170 =8, (7-(AN$24-2-$I170))/6*2/3, AN$24-$I170 =9, (7-(AN$24-3-$I170))/6*1/3, TRUE, 0) *
IF(ISNUMBER(SEARCH("Ordinance",$L170)),7/6,1) *
IF(OR(ISNUMBER(SEARCH("Melee",$L170)),ISNUMBER(SEARCH("Bypass",$L170))),1.5,1)</f>
        <v>0</v>
      </c>
      <c r="AO170" s="17" cm="1">
        <f t="array" ref="AO170">$H170 *
IF(ISNUMBER(SEARCH("Rapid",$L170)),7/6,1) *
IF(OR(ISNUMBER(SEARCH("Beam",$L170)),ISNUMBER(SEARCH("Firestorm",$L170))),1, IF(ISNUMBER(SEARCH("Blast",$L170)),(4+$G170+(2-$G170)*0.5)/6*2,(4+$G170)/6)) *
_xlfn.IFS(AO$24-$I170 &lt;=1, 5/6, AO$24-$I170 &lt;=5, (7-(AO$24-$I170))/6, AND(AO$24-$I170 =6,NOT(_xlfn.IFNA(ISNUMBER(SEARCH("Rending",$L170)),FALSE))), (7-(AO$24-$I170))/6, AND(AO$24-$I170 &gt;=7,NOT(_xlfn.IFNA(ISNUMBER(SEARCH("Rending",$L170)),FALSE))), 0, AO$24-$I170 =7, (7-(AO$24-1-$I170))/6, AO$24-$I170 =8, (7-(AO$24-2-$I170))/6*2/3, AO$24-$I170 =9, (7-(AO$24-3-$I170))/6*1/3, TRUE, 0) *
IF(ISNUMBER(SEARCH("Ordinance",$L170)),7/6,1) *
IF(OR(ISNUMBER(SEARCH("Melee",$L170)),ISNUMBER(SEARCH("Bypass",$L170))),1.5,1)</f>
        <v>0</v>
      </c>
      <c r="AP170" s="17" cm="1">
        <f t="array" ref="AP170">$H170 *
IF(ISNUMBER(SEARCH("Rapid",$L170)),7/6,1) *
IF(OR(ISNUMBER(SEARCH("Beam",$L170)),ISNUMBER(SEARCH("Firestorm",$L170))),1, IF(ISNUMBER(SEARCH("Blast",$L170)),(4+$G170+(2-$G170)*0.5)/6*2,(4+$G170)/6)) *
_xlfn.IFS(AP$24-$I170 &lt;=1, 5/6, AP$24-$I170 &lt;=5, (7-(AP$24-$I170))/6, AND(AP$24-$I170 =6,NOT(_xlfn.IFNA(ISNUMBER(SEARCH("Rending",$L170)),FALSE))), (7-(AP$24-$I170))/6, AND(AP$24-$I170 &gt;=7,NOT(_xlfn.IFNA(ISNUMBER(SEARCH("Rending",$L170)),FALSE))), 0, AP$24-$I170 =7, (7-(AP$24-1-$I170))/6, AP$24-$I170 =8, (7-(AP$24-2-$I170))/6*2/3, AP$24-$I170 =9, (7-(AP$24-3-$I170))/6*1/3, TRUE, 0) *
IF(ISNUMBER(SEARCH("Ordinance",$L170)),7/6,1) *
IF(OR(ISNUMBER(SEARCH("Melee",$L170)),ISNUMBER(SEARCH("Bypass",$L170))),1.5,1)</f>
        <v>0</v>
      </c>
      <c r="AQ170" s="17" cm="1">
        <f t="array" ref="AQ170">$H170 *
IF(ISNUMBER(SEARCH("Rapid",$L170)),7/6,1) *
IF(OR(ISNUMBER(SEARCH("Beam",$L170)),ISNUMBER(SEARCH("Firestorm",$L170))),1, IF(ISNUMBER(SEARCH("Blast",$L170)),(4+$G170+(2-$G170)*0.5)/6*2,(4+$G170)/6)) *
_xlfn.IFS(AQ$24-$I170 &lt;=1, 5/6, AQ$24-$I170 &lt;=5, (7-(AQ$24-$I170))/6, AND(AQ$24-$I170 =6,NOT(_xlfn.IFNA(ISNUMBER(SEARCH("Rending",$L170)),FALSE))), (7-(AQ$24-$I170))/6, AND(AQ$24-$I170 &gt;=7,NOT(_xlfn.IFNA(ISNUMBER(SEARCH("Rending",$L170)),FALSE))), 0, AQ$24-$I170 =7, (7-(AQ$24-1-$I170))/6, AQ$24-$I170 =8, (7-(AQ$24-2-$I170))/6*2/3, AQ$24-$I170 =9, (7-(AQ$24-3-$I170))/6*1/3, TRUE, 0) *
IF(ISNUMBER(SEARCH("Ordinance",$L170)),7/6,1) *
IF(OR(ISNUMBER(SEARCH("Melee",$L170)),ISNUMBER(SEARCH("Bypass",$L170))),1.5,1)</f>
        <v>0</v>
      </c>
      <c r="AS170" s="16">
        <f t="shared" si="41"/>
        <v>0.44444444444444442</v>
      </c>
      <c r="AT170" s="16">
        <f t="shared" si="42"/>
        <v>0.66666666666666663</v>
      </c>
      <c r="AU170" s="16">
        <f t="shared" si="43"/>
        <v>0.3833333333333333</v>
      </c>
      <c r="AV170" s="2">
        <v>10</v>
      </c>
    </row>
    <row r="171" spans="1:48" x14ac:dyDescent="0.3">
      <c r="A171" t="s">
        <v>478</v>
      </c>
      <c r="B171" s="3">
        <v>6</v>
      </c>
      <c r="C171" s="3">
        <v>16</v>
      </c>
      <c r="D171" s="3">
        <v>1</v>
      </c>
      <c r="E171" s="3">
        <v>1</v>
      </c>
      <c r="F171" s="10"/>
      <c r="G171" s="10"/>
      <c r="H171" s="3">
        <v>3</v>
      </c>
      <c r="I171" s="3">
        <v>5</v>
      </c>
      <c r="K171" s="3">
        <v>15</v>
      </c>
      <c r="M171" s="3" t="s">
        <v>225</v>
      </c>
      <c r="V171" s="16">
        <f t="shared" si="33"/>
        <v>0.66666666666666663</v>
      </c>
      <c r="W171" s="16">
        <f t="shared" si="34"/>
        <v>1</v>
      </c>
      <c r="X171" s="17" cm="1">
        <f t="array" ref="X171">$H171 *
IF(ISNUMBER(SEARCH("Rapid",$L171)),7/6,1) *
IF(OR(ISNUMBER(SEARCH("Beam",$L171)),ISNUMBER(SEARCH("Firestorm",$L171))),1, IF(ISNUMBER(SEARCH("Blast",$L171)),(4+$F171+(2-$F171)*0.5)/6*2,(4+$F171)/6)) *
IF(ISNUMBER(SEARCH("Fusion",$L171)), _xlfn.IFS(X$24-$I171 &lt;=1, 9/10, X$24-$I171 &lt;=10,(11-(X$24-$I171))/10, X$24-$I171 &gt;=11, 0),
_xlfn.IFS(X$24-$I171 &lt;=1, 5/6, X$24-$I171 &lt;=5, (7-(X$24-$I171))/6, AND(X$24-$I171 =6,NOT(_xlfn.IFNA(ISNUMBER(SEARCH("Rending",$L171)),FALSE))), (7-(X$24-$I171))/6, AND(X$24-$I171 &gt;=7,NOT(_xlfn.IFNA(ISNUMBER(SEARCH("Rending",$L171)),FALSE))), 0, X$24-$I171 =7, (7-(X$24-1-$I171))/6, X$24-$I171 =8, (7-(X$24-2-$I171))/6*2/3, X$24-$I171 =9, (7-(X$24-3-$I171))/6*1/3, TRUE, 0)) *
IF(ISNUMBER(SEARCH("Ordinance",$L171)),7/6,1) *
IF(OR(ISNUMBER(SEARCH("Melee",$L171)),ISNUMBER(SEARCH("Bypass",$L171))),1.5,1)</f>
        <v>1</v>
      </c>
      <c r="Y171" s="17" cm="1">
        <f t="array" ref="Y171">$H171 *
IF(ISNUMBER(SEARCH("Rapid",$L171)),7/6,1) *
IF(OR(ISNUMBER(SEARCH("Beam",$L171)),ISNUMBER(SEARCH("Firestorm",$L171))),1, IF(ISNUMBER(SEARCH("Blast",$L171)),(4+$F171+(2-$F171)*0.5)/6*2,(4+$F171)/6)) *
IF(ISNUMBER(SEARCH("Fusion",$L171)), _xlfn.IFS(Y$24-$I171 &lt;=1, 9/10, Y$24-$I171 &lt;=10,(11-(Y$24-$I171))/10, Y$24-$I171 &gt;=11, 0),
_xlfn.IFS(Y$24-$I171 &lt;=1, 5/6, Y$24-$I171 &lt;=5, (7-(Y$24-$I171))/6, AND(Y$24-$I171 =6,NOT(_xlfn.IFNA(ISNUMBER(SEARCH("Rending",$L171)),FALSE))), (7-(Y$24-$I171))/6, AND(Y$24-$I171 &gt;=7,NOT(_xlfn.IFNA(ISNUMBER(SEARCH("Rending",$L171)),FALSE))), 0, Y$24-$I171 =7, (7-(Y$24-1-$I171))/6, Y$24-$I171 =8, (7-(Y$24-2-$I171))/6*2/3, Y$24-$I171 =9, (7-(Y$24-3-$I171))/6*1/3, TRUE, 0)) *
IF(ISNUMBER(SEARCH("Ordinance",$L171)),7/6,1) *
IF(OR(ISNUMBER(SEARCH("Melee",$L171)),ISNUMBER(SEARCH("Bypass",$L171))),1.5,1)</f>
        <v>0.66666666666666663</v>
      </c>
      <c r="Z171" s="17" cm="1">
        <f t="array" ref="Z171">$H171 *
IF(ISNUMBER(SEARCH("Rapid",$L171)),7/6,1) *
IF(OR(ISNUMBER(SEARCH("Beam",$L171)),ISNUMBER(SEARCH("Firestorm",$L171))),1, IF(ISNUMBER(SEARCH("Blast",$L171)),(4+$F171+(2-$F171)*0.5)/6*2,(4+$F171)/6)) *
IF(ISNUMBER(SEARCH("Fusion",$L171)), _xlfn.IFS(Z$24-$I171 &lt;=1, 9/10, Z$24-$I171 &lt;=10,(11-(Z$24-$I171))/10, Z$24-$I171 &gt;=11, 0),
_xlfn.IFS(Z$24-$I171 &lt;=1, 5/6, Z$24-$I171 &lt;=5, (7-(Z$24-$I171))/6, AND(Z$24-$I171 =6,NOT(_xlfn.IFNA(ISNUMBER(SEARCH("Rending",$L171)),FALSE))), (7-(Z$24-$I171))/6, AND(Z$24-$I171 &gt;=7,NOT(_xlfn.IFNA(ISNUMBER(SEARCH("Rending",$L171)),FALSE))), 0, Z$24-$I171 =7, (7-(Z$24-1-$I171))/6, Z$24-$I171 =8, (7-(Z$24-2-$I171))/6*2/3, Z$24-$I171 =9, (7-(Z$24-3-$I171))/6*1/3, TRUE, 0)) *
IF(ISNUMBER(SEARCH("Ordinance",$L171)),7/6,1) *
IF(OR(ISNUMBER(SEARCH("Melee",$L171)),ISNUMBER(SEARCH("Bypass",$L171))),1.5,1)</f>
        <v>0.33333333333333331</v>
      </c>
      <c r="AA171" s="17" cm="1">
        <f t="array" ref="AA171">$H171 *
IF(ISNUMBER(SEARCH("Rapid",$L171)),7/6,1) *
IF(OR(ISNUMBER(SEARCH("Beam",$L171)),ISNUMBER(SEARCH("Firestorm",$L171))),1, IF(ISNUMBER(SEARCH("Blast",$L171)),(4+$F171+(2-$F171)*0.5)/6*2,(4+$F171)/6)) *
IF(ISNUMBER(SEARCH("Fusion",$L171)), _xlfn.IFS(AA$24-$I171 &lt;=1, 9/10, AA$24-$I171 &lt;=10,(11-(AA$24-$I171))/10, AA$24-$I171 &gt;=11, 0),
_xlfn.IFS(AA$24-$I171 &lt;=1, 5/6, AA$24-$I171 &lt;=5, (7-(AA$24-$I171))/6, AND(AA$24-$I171 =6,NOT(_xlfn.IFNA(ISNUMBER(SEARCH("Rending",$L171)),FALSE))), (7-(AA$24-$I171))/6, AND(AA$24-$I171 &gt;=7,NOT(_xlfn.IFNA(ISNUMBER(SEARCH("Rending",$L171)),FALSE))), 0, AA$24-$I171 =7, (7-(AA$24-1-$I171))/6, AA$24-$I171 =8, (7-(AA$24-2-$I171))/6*2/3, AA$24-$I171 =9, (7-(AA$24-3-$I171))/6*1/3, TRUE, 0)) *
IF(ISNUMBER(SEARCH("Ordinance",$L171)),7/6,1) *
IF(OR(ISNUMBER(SEARCH("Melee",$L171)),ISNUMBER(SEARCH("Bypass",$L171))),1.5,1)</f>
        <v>0</v>
      </c>
      <c r="AB171" s="17" cm="1">
        <f t="array" ref="AB171">$H171 *
IF(ISNUMBER(SEARCH("Rapid",$L171)),7/6,1) *
IF(OR(ISNUMBER(SEARCH("Beam",$L171)),ISNUMBER(SEARCH("Firestorm",$L171))),1, IF(ISNUMBER(SEARCH("Blast",$L171)),(4+$F171+(2-$F171)*0.5)/6*2,(4+$F171)/6)) *
IF(ISNUMBER(SEARCH("Fusion",$L171)), _xlfn.IFS(AB$24-$I171 &lt;=1, 9/10, AB$24-$I171 &lt;=10,(11-(AB$24-$I171))/10, AB$24-$I171 &gt;=11, 0),
_xlfn.IFS(AB$24-$I171 &lt;=1, 5/6, AB$24-$I171 &lt;=5, (7-(AB$24-$I171))/6, AND(AB$24-$I171 =6,NOT(_xlfn.IFNA(ISNUMBER(SEARCH("Rending",$L171)),FALSE))), (7-(AB$24-$I171))/6, AND(AB$24-$I171 &gt;=7,NOT(_xlfn.IFNA(ISNUMBER(SEARCH("Rending",$L171)),FALSE))), 0, AB$24-$I171 =7, (7-(AB$24-1-$I171))/6, AB$24-$I171 =8, (7-(AB$24-2-$I171))/6*2/3, AB$24-$I171 =9, (7-(AB$24-3-$I171))/6*1/3, TRUE, 0)) *
IF(ISNUMBER(SEARCH("Ordinance",$L171)),7/6,1) *
IF(OR(ISNUMBER(SEARCH("Melee",$L171)),ISNUMBER(SEARCH("Bypass",$L171))),1.5,1)</f>
        <v>0</v>
      </c>
      <c r="AC171" s="17" cm="1">
        <f t="array" ref="AC171">$H171 *
IF(ISNUMBER(SEARCH("Rapid",$L171)),7/6,1) *
IF(OR(ISNUMBER(SEARCH("Beam",$L171)),ISNUMBER(SEARCH("Firestorm",$L171))),1, IF(ISNUMBER(SEARCH("Blast",$L171)),(4+$F171+(2-$F171)*0.5)/6*2,(4+$F171)/6)) *
IF(ISNUMBER(SEARCH("Fusion",$L171)), _xlfn.IFS(AC$24-$I171 &lt;=1, 9/10, AC$24-$I171 &lt;=10,(11-(AC$24-$I171))/10, AC$24-$I171 &gt;=11, 0),
_xlfn.IFS(AC$24-$I171 &lt;=1, 5/6, AC$24-$I171 &lt;=5, (7-(AC$24-$I171))/6, AND(AC$24-$I171 =6,NOT(_xlfn.IFNA(ISNUMBER(SEARCH("Rending",$L171)),FALSE))), (7-(AC$24-$I171))/6, AND(AC$24-$I171 &gt;=7,NOT(_xlfn.IFNA(ISNUMBER(SEARCH("Rending",$L171)),FALSE))), 0, AC$24-$I171 =7, (7-(AC$24-1-$I171))/6, AC$24-$I171 =8, (7-(AC$24-2-$I171))/6*2/3, AC$24-$I171 =9, (7-(AC$24-3-$I171))/6*1/3, TRUE, 0)) *
IF(ISNUMBER(SEARCH("Ordinance",$L171)),7/6,1) *
IF(OR(ISNUMBER(SEARCH("Melee",$L171)),ISNUMBER(SEARCH("Bypass",$L171))),1.5,1)</f>
        <v>0</v>
      </c>
      <c r="AD171" s="17" cm="1">
        <f t="array" ref="AD171">$H171 *
IF(ISNUMBER(SEARCH("Rapid",$L171)),7/6,1) *
IF(OR(ISNUMBER(SEARCH("Beam",$L171)),ISNUMBER(SEARCH("Firestorm",$L171))),1, IF(ISNUMBER(SEARCH("Blast",$L171)),(4+$F171+(2-$F171)*0.5)/6*2,(4+$F171)/6)) *
IF(ISNUMBER(SEARCH("Fusion",$L171)), _xlfn.IFS(AD$24-$I171 &lt;=1, 9/10, AD$24-$I171 &lt;=10,(11-(AD$24-$I171))/10, AD$24-$I171 &gt;=11, 0),
_xlfn.IFS(AD$24-$I171 &lt;=1, 5/6, AD$24-$I171 &lt;=5, (7-(AD$24-$I171))/6, AND(AD$24-$I171 =6,NOT(_xlfn.IFNA(ISNUMBER(SEARCH("Rending",$L171)),FALSE))), (7-(AD$24-$I171))/6, AND(AD$24-$I171 &gt;=7,NOT(_xlfn.IFNA(ISNUMBER(SEARCH("Rending",$L171)),FALSE))), 0, AD$24-$I171 =7, (7-(AD$24-1-$I171))/6, AD$24-$I171 =8, (7-(AD$24-2-$I171))/6*2/3, AD$24-$I171 =9, (7-(AD$24-3-$I171))/6*1/3, TRUE, 0)) *
IF(ISNUMBER(SEARCH("Ordinance",$L171)),7/6,1) *
IF(OR(ISNUMBER(SEARCH("Melee",$L171)),ISNUMBER(SEARCH("Bypass",$L171))),1.5,1)</f>
        <v>0</v>
      </c>
      <c r="AE171" s="17" cm="1">
        <f t="array" ref="AE171">$H171 *
IF(ISNUMBER(SEARCH("Rapid",$L171)),7/6,1) *
IF(OR(ISNUMBER(SEARCH("Beam",$L171)),ISNUMBER(SEARCH("Firestorm",$L171))),1, IF(ISNUMBER(SEARCH("Blast",$L171)),(4+$F171+(2-$F171)*0.5)/6*2,(4+$F171)/6)) *
IF(ISNUMBER(SEARCH("Fusion",$L171)), _xlfn.IFS(AE$24-$I171 &lt;=1, 9/10, AE$24-$I171 &lt;=10,(11-(AE$24-$I171))/10, AE$24-$I171 &gt;=11, 0),
_xlfn.IFS(AE$24-$I171 &lt;=1, 5/6, AE$24-$I171 &lt;=5, (7-(AE$24-$I171))/6, AND(AE$24-$I171 =6,NOT(_xlfn.IFNA(ISNUMBER(SEARCH("Rending",$L171)),FALSE))), (7-(AE$24-$I171))/6, AND(AE$24-$I171 &gt;=7,NOT(_xlfn.IFNA(ISNUMBER(SEARCH("Rending",$L171)),FALSE))), 0, AE$24-$I171 =7, (7-(AE$24-1-$I171))/6, AE$24-$I171 =8, (7-(AE$24-2-$I171))/6*2/3, AE$24-$I171 =9, (7-(AE$24-3-$I171))/6*1/3, TRUE, 0)) *
IF(ISNUMBER(SEARCH("Ordinance",$L171)),7/6,1) *
IF(OR(ISNUMBER(SEARCH("Melee",$L171)),ISNUMBER(SEARCH("Bypass",$L171))),1.5,1)</f>
        <v>0</v>
      </c>
      <c r="AF171" s="17" cm="1">
        <f t="array" ref="AF171">$H171 *
IF(ISNUMBER(SEARCH("Rapid",$L171)),7/6,1) *
IF(OR(ISNUMBER(SEARCH("Beam",$L171)),ISNUMBER(SEARCH("Firestorm",$L171))),1, IF(ISNUMBER(SEARCH("Blast",$L171)),(4+$F171+(2-$F171)*0.5)/6*2,(4+$F171)/6)) *
IF(ISNUMBER(SEARCH("Fusion",$L171)), _xlfn.IFS(AF$24-$I171 &lt;=1, 9/10, AF$24-$I171 &lt;=10,(11-(AF$24-$I171))/10, AF$24-$I171 &gt;=11, 0),
_xlfn.IFS(AF$24-$I171 &lt;=1, 5/6, AF$24-$I171 &lt;=5, (7-(AF$24-$I171))/6, AND(AF$24-$I171 =6,NOT(_xlfn.IFNA(ISNUMBER(SEARCH("Rending",$L171)),FALSE))), (7-(AF$24-$I171))/6, AND(AF$24-$I171 &gt;=7,NOT(_xlfn.IFNA(ISNUMBER(SEARCH("Rending",$L171)),FALSE))), 0, AF$24-$I171 =7, (7-(AF$24-1-$I171))/6, AF$24-$I171 =8, (7-(AF$24-2-$I171))/6*2/3, AF$24-$I171 =9, (7-(AF$24-3-$I171))/6*1/3, TRUE, 0)) *
IF(ISNUMBER(SEARCH("Ordinance",$L171)),7/6,1) *
IF(OR(ISNUMBER(SEARCH("Melee",$L171)),ISNUMBER(SEARCH("Bypass",$L171))),1.5,1)</f>
        <v>0</v>
      </c>
      <c r="AG171" s="16">
        <f t="shared" si="35"/>
        <v>0.66666666666666663</v>
      </c>
      <c r="AH171" s="16">
        <f t="shared" si="36"/>
        <v>1</v>
      </c>
      <c r="AI171" s="17" cm="1">
        <f t="array" ref="AI171">$H171 *
IF(ISNUMBER(SEARCH("Rapid",$L171)),7/6,1) *
IF(OR(ISNUMBER(SEARCH("Beam",$L171)),ISNUMBER(SEARCH("Firestorm",$L171))),1, IF(ISNUMBER(SEARCH("Blast",$L171)),(4+$G171+(2-$G171)*0.5)/6*2,(4+$G171)/6)) *
_xlfn.IFS(AI$24-$I171 &lt;=1, 5/6, AI$24-$I171 &lt;=5, (7-(AI$24-$I171))/6, AND(AI$24-$I171 =6,NOT(_xlfn.IFNA(ISNUMBER(SEARCH("Rending",$L171)),FALSE))), (7-(AI$24-$I171))/6, AND(AI$24-$I171 &gt;=7,NOT(_xlfn.IFNA(ISNUMBER(SEARCH("Rending",$L171)),FALSE))), 0, AI$24-$I171 =7, (7-(AI$24-1-$I171))/6, AI$24-$I171 =8, (7-(AI$24-2-$I171))/6*2/3, AI$24-$I171 =9, (7-(AI$24-3-$I171))/6*1/3, TRUE, 0) *
IF(ISNUMBER(SEARCH("Ordinance",$L171)),7/6,1) *
IF(OR(ISNUMBER(SEARCH("Melee",$L171)),ISNUMBER(SEARCH("Bypass",$L171))),1.5,1)</f>
        <v>1</v>
      </c>
      <c r="AJ171" s="17" cm="1">
        <f t="array" ref="AJ171">$H171 *
IF(ISNUMBER(SEARCH("Rapid",$L171)),7/6,1) *
IF(OR(ISNUMBER(SEARCH("Beam",$L171)),ISNUMBER(SEARCH("Firestorm",$L171))),1, IF(ISNUMBER(SEARCH("Blast",$L171)),(4+$G171+(2-$G171)*0.5)/6*2,(4+$G171)/6)) *
_xlfn.IFS(AJ$24-$I171 &lt;=1, 5/6, AJ$24-$I171 &lt;=5, (7-(AJ$24-$I171))/6, AND(AJ$24-$I171 =6,NOT(_xlfn.IFNA(ISNUMBER(SEARCH("Rending",$L171)),FALSE))), (7-(AJ$24-$I171))/6, AND(AJ$24-$I171 &gt;=7,NOT(_xlfn.IFNA(ISNUMBER(SEARCH("Rending",$L171)),FALSE))), 0, AJ$24-$I171 =7, (7-(AJ$24-1-$I171))/6, AJ$24-$I171 =8, (7-(AJ$24-2-$I171))/6*2/3, AJ$24-$I171 =9, (7-(AJ$24-3-$I171))/6*1/3, TRUE, 0) *
IF(ISNUMBER(SEARCH("Ordinance",$L171)),7/6,1) *
IF(OR(ISNUMBER(SEARCH("Melee",$L171)),ISNUMBER(SEARCH("Bypass",$L171))),1.5,1)</f>
        <v>0.66666666666666663</v>
      </c>
      <c r="AK171" s="17" cm="1">
        <f t="array" ref="AK171">$H171 *
IF(ISNUMBER(SEARCH("Rapid",$L171)),7/6,1) *
IF(OR(ISNUMBER(SEARCH("Beam",$L171)),ISNUMBER(SEARCH("Firestorm",$L171))),1, IF(ISNUMBER(SEARCH("Blast",$L171)),(4+$G171+(2-$G171)*0.5)/6*2,(4+$G171)/6)) *
_xlfn.IFS(AK$24-$I171 &lt;=1, 5/6, AK$24-$I171 &lt;=5, (7-(AK$24-$I171))/6, AND(AK$24-$I171 =6,NOT(_xlfn.IFNA(ISNUMBER(SEARCH("Rending",$L171)),FALSE))), (7-(AK$24-$I171))/6, AND(AK$24-$I171 &gt;=7,NOT(_xlfn.IFNA(ISNUMBER(SEARCH("Rending",$L171)),FALSE))), 0, AK$24-$I171 =7, (7-(AK$24-1-$I171))/6, AK$24-$I171 =8, (7-(AK$24-2-$I171))/6*2/3, AK$24-$I171 =9, (7-(AK$24-3-$I171))/6*1/3, TRUE, 0) *
IF(ISNUMBER(SEARCH("Ordinance",$L171)),7/6,1) *
IF(OR(ISNUMBER(SEARCH("Melee",$L171)),ISNUMBER(SEARCH("Bypass",$L171))),1.5,1)</f>
        <v>0.33333333333333331</v>
      </c>
      <c r="AL171" s="17" cm="1">
        <f t="array" ref="AL171">$H171 *
IF(ISNUMBER(SEARCH("Rapid",$L171)),7/6,1) *
IF(OR(ISNUMBER(SEARCH("Beam",$L171)),ISNUMBER(SEARCH("Firestorm",$L171))),1, IF(ISNUMBER(SEARCH("Blast",$L171)),(4+$G171+(2-$G171)*0.5)/6*2,(4+$G171)/6)) *
_xlfn.IFS(AL$24-$I171 &lt;=1, 5/6, AL$24-$I171 &lt;=5, (7-(AL$24-$I171))/6, AND(AL$24-$I171 =6,NOT(_xlfn.IFNA(ISNUMBER(SEARCH("Rending",$L171)),FALSE))), (7-(AL$24-$I171))/6, AND(AL$24-$I171 &gt;=7,NOT(_xlfn.IFNA(ISNUMBER(SEARCH("Rending",$L171)),FALSE))), 0, AL$24-$I171 =7, (7-(AL$24-1-$I171))/6, AL$24-$I171 =8, (7-(AL$24-2-$I171))/6*2/3, AL$24-$I171 =9, (7-(AL$24-3-$I171))/6*1/3, TRUE, 0) *
IF(ISNUMBER(SEARCH("Ordinance",$L171)),7/6,1) *
IF(OR(ISNUMBER(SEARCH("Melee",$L171)),ISNUMBER(SEARCH("Bypass",$L171))),1.5,1)</f>
        <v>0</v>
      </c>
      <c r="AM171" s="17" cm="1">
        <f t="array" ref="AM171">$H171 *
IF(ISNUMBER(SEARCH("Rapid",$L171)),7/6,1) *
IF(OR(ISNUMBER(SEARCH("Beam",$L171)),ISNUMBER(SEARCH("Firestorm",$L171))),1, IF(ISNUMBER(SEARCH("Blast",$L171)),(4+$G171+(2-$G171)*0.5)/6*2,(4+$G171)/6)) *
_xlfn.IFS(AM$24-$I171 &lt;=1, 5/6, AM$24-$I171 &lt;=5, (7-(AM$24-$I171))/6, AND(AM$24-$I171 =6,NOT(_xlfn.IFNA(ISNUMBER(SEARCH("Rending",$L171)),FALSE))), (7-(AM$24-$I171))/6, AND(AM$24-$I171 &gt;=7,NOT(_xlfn.IFNA(ISNUMBER(SEARCH("Rending",$L171)),FALSE))), 0, AM$24-$I171 =7, (7-(AM$24-1-$I171))/6, AM$24-$I171 =8, (7-(AM$24-2-$I171))/6*2/3, AM$24-$I171 =9, (7-(AM$24-3-$I171))/6*1/3, TRUE, 0) *
IF(ISNUMBER(SEARCH("Ordinance",$L171)),7/6,1) *
IF(OR(ISNUMBER(SEARCH("Melee",$L171)),ISNUMBER(SEARCH("Bypass",$L171))),1.5,1)</f>
        <v>0</v>
      </c>
      <c r="AN171" s="17" cm="1">
        <f t="array" ref="AN171">$H171 *
IF(ISNUMBER(SEARCH("Rapid",$L171)),7/6,1) *
IF(OR(ISNUMBER(SEARCH("Beam",$L171)),ISNUMBER(SEARCH("Firestorm",$L171))),1, IF(ISNUMBER(SEARCH("Blast",$L171)),(4+$G171+(2-$G171)*0.5)/6*2,(4+$G171)/6)) *
_xlfn.IFS(AN$24-$I171 &lt;=1, 5/6, AN$24-$I171 &lt;=5, (7-(AN$24-$I171))/6, AND(AN$24-$I171 =6,NOT(_xlfn.IFNA(ISNUMBER(SEARCH("Rending",$L171)),FALSE))), (7-(AN$24-$I171))/6, AND(AN$24-$I171 &gt;=7,NOT(_xlfn.IFNA(ISNUMBER(SEARCH("Rending",$L171)),FALSE))), 0, AN$24-$I171 =7, (7-(AN$24-1-$I171))/6, AN$24-$I171 =8, (7-(AN$24-2-$I171))/6*2/3, AN$24-$I171 =9, (7-(AN$24-3-$I171))/6*1/3, TRUE, 0) *
IF(ISNUMBER(SEARCH("Ordinance",$L171)),7/6,1) *
IF(OR(ISNUMBER(SEARCH("Melee",$L171)),ISNUMBER(SEARCH("Bypass",$L171))),1.5,1)</f>
        <v>0</v>
      </c>
      <c r="AO171" s="17" cm="1">
        <f t="array" ref="AO171">$H171 *
IF(ISNUMBER(SEARCH("Rapid",$L171)),7/6,1) *
IF(OR(ISNUMBER(SEARCH("Beam",$L171)),ISNUMBER(SEARCH("Firestorm",$L171))),1, IF(ISNUMBER(SEARCH("Blast",$L171)),(4+$G171+(2-$G171)*0.5)/6*2,(4+$G171)/6)) *
_xlfn.IFS(AO$24-$I171 &lt;=1, 5/6, AO$24-$I171 &lt;=5, (7-(AO$24-$I171))/6, AND(AO$24-$I171 =6,NOT(_xlfn.IFNA(ISNUMBER(SEARCH("Rending",$L171)),FALSE))), (7-(AO$24-$I171))/6, AND(AO$24-$I171 &gt;=7,NOT(_xlfn.IFNA(ISNUMBER(SEARCH("Rending",$L171)),FALSE))), 0, AO$24-$I171 =7, (7-(AO$24-1-$I171))/6, AO$24-$I171 =8, (7-(AO$24-2-$I171))/6*2/3, AO$24-$I171 =9, (7-(AO$24-3-$I171))/6*1/3, TRUE, 0) *
IF(ISNUMBER(SEARCH("Ordinance",$L171)),7/6,1) *
IF(OR(ISNUMBER(SEARCH("Melee",$L171)),ISNUMBER(SEARCH("Bypass",$L171))),1.5,1)</f>
        <v>0</v>
      </c>
      <c r="AP171" s="17" cm="1">
        <f t="array" ref="AP171">$H171 *
IF(ISNUMBER(SEARCH("Rapid",$L171)),7/6,1) *
IF(OR(ISNUMBER(SEARCH("Beam",$L171)),ISNUMBER(SEARCH("Firestorm",$L171))),1, IF(ISNUMBER(SEARCH("Blast",$L171)),(4+$G171+(2-$G171)*0.5)/6*2,(4+$G171)/6)) *
_xlfn.IFS(AP$24-$I171 &lt;=1, 5/6, AP$24-$I171 &lt;=5, (7-(AP$24-$I171))/6, AND(AP$24-$I171 =6,NOT(_xlfn.IFNA(ISNUMBER(SEARCH("Rending",$L171)),FALSE))), (7-(AP$24-$I171))/6, AND(AP$24-$I171 &gt;=7,NOT(_xlfn.IFNA(ISNUMBER(SEARCH("Rending",$L171)),FALSE))), 0, AP$24-$I171 =7, (7-(AP$24-1-$I171))/6, AP$24-$I171 =8, (7-(AP$24-2-$I171))/6*2/3, AP$24-$I171 =9, (7-(AP$24-3-$I171))/6*1/3, TRUE, 0) *
IF(ISNUMBER(SEARCH("Ordinance",$L171)),7/6,1) *
IF(OR(ISNUMBER(SEARCH("Melee",$L171)),ISNUMBER(SEARCH("Bypass",$L171))),1.5,1)</f>
        <v>0</v>
      </c>
      <c r="AQ171" s="17" cm="1">
        <f t="array" ref="AQ171">$H171 *
IF(ISNUMBER(SEARCH("Rapid",$L171)),7/6,1) *
IF(OR(ISNUMBER(SEARCH("Beam",$L171)),ISNUMBER(SEARCH("Firestorm",$L171))),1, IF(ISNUMBER(SEARCH("Blast",$L171)),(4+$G171+(2-$G171)*0.5)/6*2,(4+$G171)/6)) *
_xlfn.IFS(AQ$24-$I171 &lt;=1, 5/6, AQ$24-$I171 &lt;=5, (7-(AQ$24-$I171))/6, AND(AQ$24-$I171 =6,NOT(_xlfn.IFNA(ISNUMBER(SEARCH("Rending",$L171)),FALSE))), (7-(AQ$24-$I171))/6, AND(AQ$24-$I171 &gt;=7,NOT(_xlfn.IFNA(ISNUMBER(SEARCH("Rending",$L171)),FALSE))), 0, AQ$24-$I171 =7, (7-(AQ$24-1-$I171))/6, AQ$24-$I171 =8, (7-(AQ$24-2-$I171))/6*2/3, AQ$24-$I171 =9, (7-(AQ$24-3-$I171))/6*1/3, TRUE, 0) *
IF(ISNUMBER(SEARCH("Ordinance",$L171)),7/6,1) *
IF(OR(ISNUMBER(SEARCH("Melee",$L171)),ISNUMBER(SEARCH("Bypass",$L171))),1.5,1)</f>
        <v>0</v>
      </c>
      <c r="AS171" s="16">
        <f t="shared" si="41"/>
        <v>0.66666666666666663</v>
      </c>
      <c r="AT171" s="16">
        <f t="shared" si="42"/>
        <v>1</v>
      </c>
      <c r="AU171" s="16">
        <f t="shared" si="43"/>
        <v>0.51666666666666661</v>
      </c>
      <c r="AV171" s="2">
        <v>10</v>
      </c>
    </row>
    <row r="172" spans="1:48" x14ac:dyDescent="0.3">
      <c r="A172" s="32" t="s">
        <v>479</v>
      </c>
      <c r="B172" s="33">
        <v>6</v>
      </c>
      <c r="C172" s="33">
        <v>12</v>
      </c>
      <c r="D172" s="33">
        <v>1</v>
      </c>
      <c r="E172" s="33">
        <v>1</v>
      </c>
      <c r="F172" s="10"/>
      <c r="G172" s="10">
        <v>-1</v>
      </c>
      <c r="H172" s="33">
        <v>1</v>
      </c>
      <c r="I172" s="33">
        <v>8</v>
      </c>
      <c r="J172" s="33"/>
      <c r="K172" s="33">
        <v>10</v>
      </c>
      <c r="L172" s="33" t="s">
        <v>481</v>
      </c>
      <c r="M172" s="3" t="s">
        <v>225</v>
      </c>
      <c r="V172" s="16">
        <f t="shared" si="33"/>
        <v>0.22222222222222221</v>
      </c>
      <c r="W172" s="16">
        <f t="shared" si="34"/>
        <v>0.33333333333333331</v>
      </c>
      <c r="X172" s="17" cm="1">
        <f t="array" ref="X172">$H172 *
IF(ISNUMBER(SEARCH("Rapid",$L172)),7/6,1) *
IF(OR(ISNUMBER(SEARCH("Beam",$L172)),ISNUMBER(SEARCH("Firestorm",$L172))),1, IF(ISNUMBER(SEARCH("Blast",$L172)),(4+$F172+(2-$F172)*0.5)/6*2,(4+$F172)/6)) *
IF(ISNUMBER(SEARCH("Fusion",$L172)), _xlfn.IFS(X$24-$I172 &lt;=1, 9/10, X$24-$I172 &lt;=10,(11-(X$24-$I172))/10, X$24-$I172 &gt;=11, 0),
_xlfn.IFS(X$24-$I172 &lt;=1, 5/6, X$24-$I172 &lt;=5, (7-(X$24-$I172))/6, AND(X$24-$I172 =6,NOT(_xlfn.IFNA(ISNUMBER(SEARCH("Rending",$L172)),FALSE))), (7-(X$24-$I172))/6, AND(X$24-$I172 &gt;=7,NOT(_xlfn.IFNA(ISNUMBER(SEARCH("Rending",$L172)),FALSE))), 0, X$24-$I172 =7, (7-(X$24-1-$I172))/6, X$24-$I172 =8, (7-(X$24-2-$I172))/6*2/3, X$24-$I172 =9, (7-(X$24-3-$I172))/6*1/3, TRUE, 0)) *
IF(ISNUMBER(SEARCH("Ordinance",$L172)),7/6,1) *
IF(OR(ISNUMBER(SEARCH("Melee",$L172)),ISNUMBER(SEARCH("Bypass",$L172))),1.5,1)</f>
        <v>0.6</v>
      </c>
      <c r="Y172" s="17" cm="1">
        <f t="array" ref="Y172">$H172 *
IF(ISNUMBER(SEARCH("Rapid",$L172)),7/6,1) *
IF(OR(ISNUMBER(SEARCH("Beam",$L172)),ISNUMBER(SEARCH("Firestorm",$L172))),1, IF(ISNUMBER(SEARCH("Blast",$L172)),(4+$F172+(2-$F172)*0.5)/6*2,(4+$F172)/6)) *
IF(ISNUMBER(SEARCH("Fusion",$L172)), _xlfn.IFS(Y$24-$I172 &lt;=1, 9/10, Y$24-$I172 &lt;=10,(11-(Y$24-$I172))/10, Y$24-$I172 &gt;=11, 0),
_xlfn.IFS(Y$24-$I172 &lt;=1, 5/6, Y$24-$I172 &lt;=5, (7-(Y$24-$I172))/6, AND(Y$24-$I172 =6,NOT(_xlfn.IFNA(ISNUMBER(SEARCH("Rending",$L172)),FALSE))), (7-(Y$24-$I172))/6, AND(Y$24-$I172 &gt;=7,NOT(_xlfn.IFNA(ISNUMBER(SEARCH("Rending",$L172)),FALSE))), 0, Y$24-$I172 =7, (7-(Y$24-1-$I172))/6, Y$24-$I172 =8, (7-(Y$24-2-$I172))/6*2/3, Y$24-$I172 =9, (7-(Y$24-3-$I172))/6*1/3, TRUE, 0)) *
IF(ISNUMBER(SEARCH("Ordinance",$L172)),7/6,1) *
IF(OR(ISNUMBER(SEARCH("Melee",$L172)),ISNUMBER(SEARCH("Bypass",$L172))),1.5,1)</f>
        <v>0.6</v>
      </c>
      <c r="Z172" s="17" cm="1">
        <f t="array" ref="Z172">$H172 *
IF(ISNUMBER(SEARCH("Rapid",$L172)),7/6,1) *
IF(OR(ISNUMBER(SEARCH("Beam",$L172)),ISNUMBER(SEARCH("Firestorm",$L172))),1, IF(ISNUMBER(SEARCH("Blast",$L172)),(4+$F172+(2-$F172)*0.5)/6*2,(4+$F172)/6)) *
IF(ISNUMBER(SEARCH("Fusion",$L172)), _xlfn.IFS(Z$24-$I172 &lt;=1, 9/10, Z$24-$I172 &lt;=10,(11-(Z$24-$I172))/10, Z$24-$I172 &gt;=11, 0),
_xlfn.IFS(Z$24-$I172 &lt;=1, 5/6, Z$24-$I172 &lt;=5, (7-(Z$24-$I172))/6, AND(Z$24-$I172 =6,NOT(_xlfn.IFNA(ISNUMBER(SEARCH("Rending",$L172)),FALSE))), (7-(Z$24-$I172))/6, AND(Z$24-$I172 &gt;=7,NOT(_xlfn.IFNA(ISNUMBER(SEARCH("Rending",$L172)),FALSE))), 0, Z$24-$I172 =7, (7-(Z$24-1-$I172))/6, Z$24-$I172 =8, (7-(Z$24-2-$I172))/6*2/3, Z$24-$I172 =9, (7-(Z$24-3-$I172))/6*1/3, TRUE, 0)) *
IF(ISNUMBER(SEARCH("Ordinance",$L172)),7/6,1) *
IF(OR(ISNUMBER(SEARCH("Melee",$L172)),ISNUMBER(SEARCH("Bypass",$L172))),1.5,1)</f>
        <v>0.53333333333333333</v>
      </c>
      <c r="AA172" s="17" cm="1">
        <f t="array" ref="AA172">$H172 *
IF(ISNUMBER(SEARCH("Rapid",$L172)),7/6,1) *
IF(OR(ISNUMBER(SEARCH("Beam",$L172)),ISNUMBER(SEARCH("Firestorm",$L172))),1, IF(ISNUMBER(SEARCH("Blast",$L172)),(4+$F172+(2-$F172)*0.5)/6*2,(4+$F172)/6)) *
IF(ISNUMBER(SEARCH("Fusion",$L172)), _xlfn.IFS(AA$24-$I172 &lt;=1, 9/10, AA$24-$I172 &lt;=10,(11-(AA$24-$I172))/10, AA$24-$I172 &gt;=11, 0),
_xlfn.IFS(AA$24-$I172 &lt;=1, 5/6, AA$24-$I172 &lt;=5, (7-(AA$24-$I172))/6, AND(AA$24-$I172 =6,NOT(_xlfn.IFNA(ISNUMBER(SEARCH("Rending",$L172)),FALSE))), (7-(AA$24-$I172))/6, AND(AA$24-$I172 &gt;=7,NOT(_xlfn.IFNA(ISNUMBER(SEARCH("Rending",$L172)),FALSE))), 0, AA$24-$I172 =7, (7-(AA$24-1-$I172))/6, AA$24-$I172 =8, (7-(AA$24-2-$I172))/6*2/3, AA$24-$I172 =9, (7-(AA$24-3-$I172))/6*1/3, TRUE, 0)) *
IF(ISNUMBER(SEARCH("Ordinance",$L172)),7/6,1) *
IF(OR(ISNUMBER(SEARCH("Melee",$L172)),ISNUMBER(SEARCH("Bypass",$L172))),1.5,1)</f>
        <v>0.46666666666666662</v>
      </c>
      <c r="AB172" s="17" cm="1">
        <f t="array" ref="AB172">$H172 *
IF(ISNUMBER(SEARCH("Rapid",$L172)),7/6,1) *
IF(OR(ISNUMBER(SEARCH("Beam",$L172)),ISNUMBER(SEARCH("Firestorm",$L172))),1, IF(ISNUMBER(SEARCH("Blast",$L172)),(4+$F172+(2-$F172)*0.5)/6*2,(4+$F172)/6)) *
IF(ISNUMBER(SEARCH("Fusion",$L172)), _xlfn.IFS(AB$24-$I172 &lt;=1, 9/10, AB$24-$I172 &lt;=10,(11-(AB$24-$I172))/10, AB$24-$I172 &gt;=11, 0),
_xlfn.IFS(AB$24-$I172 &lt;=1, 5/6, AB$24-$I172 &lt;=5, (7-(AB$24-$I172))/6, AND(AB$24-$I172 =6,NOT(_xlfn.IFNA(ISNUMBER(SEARCH("Rending",$L172)),FALSE))), (7-(AB$24-$I172))/6, AND(AB$24-$I172 &gt;=7,NOT(_xlfn.IFNA(ISNUMBER(SEARCH("Rending",$L172)),FALSE))), 0, AB$24-$I172 =7, (7-(AB$24-1-$I172))/6, AB$24-$I172 =8, (7-(AB$24-2-$I172))/6*2/3, AB$24-$I172 =9, (7-(AB$24-3-$I172))/6*1/3, TRUE, 0)) *
IF(ISNUMBER(SEARCH("Ordinance",$L172)),7/6,1) *
IF(OR(ISNUMBER(SEARCH("Melee",$L172)),ISNUMBER(SEARCH("Bypass",$L172))),1.5,1)</f>
        <v>0.39999999999999997</v>
      </c>
      <c r="AC172" s="17" cm="1">
        <f t="array" ref="AC172">$H172 *
IF(ISNUMBER(SEARCH("Rapid",$L172)),7/6,1) *
IF(OR(ISNUMBER(SEARCH("Beam",$L172)),ISNUMBER(SEARCH("Firestorm",$L172))),1, IF(ISNUMBER(SEARCH("Blast",$L172)),(4+$F172+(2-$F172)*0.5)/6*2,(4+$F172)/6)) *
IF(ISNUMBER(SEARCH("Fusion",$L172)), _xlfn.IFS(AC$24-$I172 &lt;=1, 9/10, AC$24-$I172 &lt;=10,(11-(AC$24-$I172))/10, AC$24-$I172 &gt;=11, 0),
_xlfn.IFS(AC$24-$I172 &lt;=1, 5/6, AC$24-$I172 &lt;=5, (7-(AC$24-$I172))/6, AND(AC$24-$I172 =6,NOT(_xlfn.IFNA(ISNUMBER(SEARCH("Rending",$L172)),FALSE))), (7-(AC$24-$I172))/6, AND(AC$24-$I172 &gt;=7,NOT(_xlfn.IFNA(ISNUMBER(SEARCH("Rending",$L172)),FALSE))), 0, AC$24-$I172 =7, (7-(AC$24-1-$I172))/6, AC$24-$I172 =8, (7-(AC$24-2-$I172))/6*2/3, AC$24-$I172 =9, (7-(AC$24-3-$I172))/6*1/3, TRUE, 0)) *
IF(ISNUMBER(SEARCH("Ordinance",$L172)),7/6,1) *
IF(OR(ISNUMBER(SEARCH("Melee",$L172)),ISNUMBER(SEARCH("Bypass",$L172))),1.5,1)</f>
        <v>0.33333333333333331</v>
      </c>
      <c r="AD172" s="17" cm="1">
        <f t="array" ref="AD172">$H172 *
IF(ISNUMBER(SEARCH("Rapid",$L172)),7/6,1) *
IF(OR(ISNUMBER(SEARCH("Beam",$L172)),ISNUMBER(SEARCH("Firestorm",$L172))),1, IF(ISNUMBER(SEARCH("Blast",$L172)),(4+$F172+(2-$F172)*0.5)/6*2,(4+$F172)/6)) *
IF(ISNUMBER(SEARCH("Fusion",$L172)), _xlfn.IFS(AD$24-$I172 &lt;=1, 9/10, AD$24-$I172 &lt;=10,(11-(AD$24-$I172))/10, AD$24-$I172 &gt;=11, 0),
_xlfn.IFS(AD$24-$I172 &lt;=1, 5/6, AD$24-$I172 &lt;=5, (7-(AD$24-$I172))/6, AND(AD$24-$I172 =6,NOT(_xlfn.IFNA(ISNUMBER(SEARCH("Rending",$L172)),FALSE))), (7-(AD$24-$I172))/6, AND(AD$24-$I172 &gt;=7,NOT(_xlfn.IFNA(ISNUMBER(SEARCH("Rending",$L172)),FALSE))), 0, AD$24-$I172 =7, (7-(AD$24-1-$I172))/6, AD$24-$I172 =8, (7-(AD$24-2-$I172))/6*2/3, AD$24-$I172 =9, (7-(AD$24-3-$I172))/6*1/3, TRUE, 0)) *
IF(ISNUMBER(SEARCH("Ordinance",$L172)),7/6,1) *
IF(OR(ISNUMBER(SEARCH("Melee",$L172)),ISNUMBER(SEARCH("Bypass",$L172))),1.5,1)</f>
        <v>0.26666666666666666</v>
      </c>
      <c r="AE172" s="17" cm="1">
        <f t="array" ref="AE172">$H172 *
IF(ISNUMBER(SEARCH("Rapid",$L172)),7/6,1) *
IF(OR(ISNUMBER(SEARCH("Beam",$L172)),ISNUMBER(SEARCH("Firestorm",$L172))),1, IF(ISNUMBER(SEARCH("Blast",$L172)),(4+$F172+(2-$F172)*0.5)/6*2,(4+$F172)/6)) *
IF(ISNUMBER(SEARCH("Fusion",$L172)), _xlfn.IFS(AE$24-$I172 &lt;=1, 9/10, AE$24-$I172 &lt;=10,(11-(AE$24-$I172))/10, AE$24-$I172 &gt;=11, 0),
_xlfn.IFS(AE$24-$I172 &lt;=1, 5/6, AE$24-$I172 &lt;=5, (7-(AE$24-$I172))/6, AND(AE$24-$I172 =6,NOT(_xlfn.IFNA(ISNUMBER(SEARCH("Rending",$L172)),FALSE))), (7-(AE$24-$I172))/6, AND(AE$24-$I172 &gt;=7,NOT(_xlfn.IFNA(ISNUMBER(SEARCH("Rending",$L172)),FALSE))), 0, AE$24-$I172 =7, (7-(AE$24-1-$I172))/6, AE$24-$I172 =8, (7-(AE$24-2-$I172))/6*2/3, AE$24-$I172 =9, (7-(AE$24-3-$I172))/6*1/3, TRUE, 0)) *
IF(ISNUMBER(SEARCH("Ordinance",$L172)),7/6,1) *
IF(OR(ISNUMBER(SEARCH("Melee",$L172)),ISNUMBER(SEARCH("Bypass",$L172))),1.5,1)</f>
        <v>0.19999999999999998</v>
      </c>
      <c r="AF172" s="17" cm="1">
        <f t="array" ref="AF172">$H172 *
IF(ISNUMBER(SEARCH("Rapid",$L172)),7/6,1) *
IF(OR(ISNUMBER(SEARCH("Beam",$L172)),ISNUMBER(SEARCH("Firestorm",$L172))),1, IF(ISNUMBER(SEARCH("Blast",$L172)),(4+$F172+(2-$F172)*0.5)/6*2,(4+$F172)/6)) *
IF(ISNUMBER(SEARCH("Fusion",$L172)), _xlfn.IFS(AF$24-$I172 &lt;=1, 9/10, AF$24-$I172 &lt;=10,(11-(AF$24-$I172))/10, AF$24-$I172 &gt;=11, 0),
_xlfn.IFS(AF$24-$I172 &lt;=1, 5/6, AF$24-$I172 &lt;=5, (7-(AF$24-$I172))/6, AND(AF$24-$I172 =6,NOT(_xlfn.IFNA(ISNUMBER(SEARCH("Rending",$L172)),FALSE))), (7-(AF$24-$I172))/6, AND(AF$24-$I172 &gt;=7,NOT(_xlfn.IFNA(ISNUMBER(SEARCH("Rending",$L172)),FALSE))), 0, AF$24-$I172 =7, (7-(AF$24-1-$I172))/6, AF$24-$I172 =8, (7-(AF$24-2-$I172))/6*2/3, AF$24-$I172 =9, (7-(AF$24-3-$I172))/6*1/3, TRUE, 0)) *
IF(ISNUMBER(SEARCH("Ordinance",$L172)),7/6,1) *
IF(OR(ISNUMBER(SEARCH("Melee",$L172)),ISNUMBER(SEARCH("Bypass",$L172))),1.5,1)</f>
        <v>0.13333333333333333</v>
      </c>
      <c r="AG172" s="16">
        <f t="shared" si="35"/>
        <v>0.16666666666666666</v>
      </c>
      <c r="AH172" s="16">
        <f t="shared" si="36"/>
        <v>0.25</v>
      </c>
      <c r="AI172" s="17" cm="1">
        <f t="array" ref="AI172">$H172 *
IF(ISNUMBER(SEARCH("Rapid",$L172)),7/6,1) *
IF(OR(ISNUMBER(SEARCH("Beam",$L172)),ISNUMBER(SEARCH("Firestorm",$L172))),1, IF(ISNUMBER(SEARCH("Blast",$L172)),(4+$G172+(2-$G172)*0.5)/6*2,(4+$G172)/6)) *
_xlfn.IFS(AI$24-$I172 &lt;=1, 5/6, AI$24-$I172 &lt;=5, (7-(AI$24-$I172))/6, AND(AI$24-$I172 =6,NOT(_xlfn.IFNA(ISNUMBER(SEARCH("Rending",$L172)),FALSE))), (7-(AI$24-$I172))/6, AND(AI$24-$I172 &gt;=7,NOT(_xlfn.IFNA(ISNUMBER(SEARCH("Rending",$L172)),FALSE))), 0, AI$24-$I172 =7, (7-(AI$24-1-$I172))/6, AI$24-$I172 =8, (7-(AI$24-2-$I172))/6*2/3, AI$24-$I172 =9, (7-(AI$24-3-$I172))/6*1/3, TRUE, 0) *
IF(ISNUMBER(SEARCH("Ordinance",$L172)),7/6,1) *
IF(OR(ISNUMBER(SEARCH("Melee",$L172)),ISNUMBER(SEARCH("Bypass",$L172))),1.5,1)</f>
        <v>0.41666666666666669</v>
      </c>
      <c r="AJ172" s="17" cm="1">
        <f t="array" ref="AJ172">$H172 *
IF(ISNUMBER(SEARCH("Rapid",$L172)),7/6,1) *
IF(OR(ISNUMBER(SEARCH("Beam",$L172)),ISNUMBER(SEARCH("Firestorm",$L172))),1, IF(ISNUMBER(SEARCH("Blast",$L172)),(4+$G172+(2-$G172)*0.5)/6*2,(4+$G172)/6)) *
_xlfn.IFS(AJ$24-$I172 &lt;=1, 5/6, AJ$24-$I172 &lt;=5, (7-(AJ$24-$I172))/6, AND(AJ$24-$I172 =6,NOT(_xlfn.IFNA(ISNUMBER(SEARCH("Rending",$L172)),FALSE))), (7-(AJ$24-$I172))/6, AND(AJ$24-$I172 &gt;=7,NOT(_xlfn.IFNA(ISNUMBER(SEARCH("Rending",$L172)),FALSE))), 0, AJ$24-$I172 =7, (7-(AJ$24-1-$I172))/6, AJ$24-$I172 =8, (7-(AJ$24-2-$I172))/6*2/3, AJ$24-$I172 =9, (7-(AJ$24-3-$I172))/6*1/3, TRUE, 0) *
IF(ISNUMBER(SEARCH("Ordinance",$L172)),7/6,1) *
IF(OR(ISNUMBER(SEARCH("Melee",$L172)),ISNUMBER(SEARCH("Bypass",$L172))),1.5,1)</f>
        <v>0.41666666666666669</v>
      </c>
      <c r="AK172" s="17" cm="1">
        <f t="array" ref="AK172">$H172 *
IF(ISNUMBER(SEARCH("Rapid",$L172)),7/6,1) *
IF(OR(ISNUMBER(SEARCH("Beam",$L172)),ISNUMBER(SEARCH("Firestorm",$L172))),1, IF(ISNUMBER(SEARCH("Blast",$L172)),(4+$G172+(2-$G172)*0.5)/6*2,(4+$G172)/6)) *
_xlfn.IFS(AK$24-$I172 &lt;=1, 5/6, AK$24-$I172 &lt;=5, (7-(AK$24-$I172))/6, AND(AK$24-$I172 =6,NOT(_xlfn.IFNA(ISNUMBER(SEARCH("Rending",$L172)),FALSE))), (7-(AK$24-$I172))/6, AND(AK$24-$I172 &gt;=7,NOT(_xlfn.IFNA(ISNUMBER(SEARCH("Rending",$L172)),FALSE))), 0, AK$24-$I172 =7, (7-(AK$24-1-$I172))/6, AK$24-$I172 =8, (7-(AK$24-2-$I172))/6*2/3, AK$24-$I172 =9, (7-(AK$24-3-$I172))/6*1/3, TRUE, 0) *
IF(ISNUMBER(SEARCH("Ordinance",$L172)),7/6,1) *
IF(OR(ISNUMBER(SEARCH("Melee",$L172)),ISNUMBER(SEARCH("Bypass",$L172))),1.5,1)</f>
        <v>0.33333333333333331</v>
      </c>
      <c r="AL172" s="17" cm="1">
        <f t="array" ref="AL172">$H172 *
IF(ISNUMBER(SEARCH("Rapid",$L172)),7/6,1) *
IF(OR(ISNUMBER(SEARCH("Beam",$L172)),ISNUMBER(SEARCH("Firestorm",$L172))),1, IF(ISNUMBER(SEARCH("Blast",$L172)),(4+$G172+(2-$G172)*0.5)/6*2,(4+$G172)/6)) *
_xlfn.IFS(AL$24-$I172 &lt;=1, 5/6, AL$24-$I172 &lt;=5, (7-(AL$24-$I172))/6, AND(AL$24-$I172 =6,NOT(_xlfn.IFNA(ISNUMBER(SEARCH("Rending",$L172)),FALSE))), (7-(AL$24-$I172))/6, AND(AL$24-$I172 &gt;=7,NOT(_xlfn.IFNA(ISNUMBER(SEARCH("Rending",$L172)),FALSE))), 0, AL$24-$I172 =7, (7-(AL$24-1-$I172))/6, AL$24-$I172 =8, (7-(AL$24-2-$I172))/6*2/3, AL$24-$I172 =9, (7-(AL$24-3-$I172))/6*1/3, TRUE, 0) *
IF(ISNUMBER(SEARCH("Ordinance",$L172)),7/6,1) *
IF(OR(ISNUMBER(SEARCH("Melee",$L172)),ISNUMBER(SEARCH("Bypass",$L172))),1.5,1)</f>
        <v>0.25</v>
      </c>
      <c r="AM172" s="17" cm="1">
        <f t="array" ref="AM172">$H172 *
IF(ISNUMBER(SEARCH("Rapid",$L172)),7/6,1) *
IF(OR(ISNUMBER(SEARCH("Beam",$L172)),ISNUMBER(SEARCH("Firestorm",$L172))),1, IF(ISNUMBER(SEARCH("Blast",$L172)),(4+$G172+(2-$G172)*0.5)/6*2,(4+$G172)/6)) *
_xlfn.IFS(AM$24-$I172 &lt;=1, 5/6, AM$24-$I172 &lt;=5, (7-(AM$24-$I172))/6, AND(AM$24-$I172 =6,NOT(_xlfn.IFNA(ISNUMBER(SEARCH("Rending",$L172)),FALSE))), (7-(AM$24-$I172))/6, AND(AM$24-$I172 &gt;=7,NOT(_xlfn.IFNA(ISNUMBER(SEARCH("Rending",$L172)),FALSE))), 0, AM$24-$I172 =7, (7-(AM$24-1-$I172))/6, AM$24-$I172 =8, (7-(AM$24-2-$I172))/6*2/3, AM$24-$I172 =9, (7-(AM$24-3-$I172))/6*1/3, TRUE, 0) *
IF(ISNUMBER(SEARCH("Ordinance",$L172)),7/6,1) *
IF(OR(ISNUMBER(SEARCH("Melee",$L172)),ISNUMBER(SEARCH("Bypass",$L172))),1.5,1)</f>
        <v>0.16666666666666666</v>
      </c>
      <c r="AN172" s="17" cm="1">
        <f t="array" ref="AN172">$H172 *
IF(ISNUMBER(SEARCH("Rapid",$L172)),7/6,1) *
IF(OR(ISNUMBER(SEARCH("Beam",$L172)),ISNUMBER(SEARCH("Firestorm",$L172))),1, IF(ISNUMBER(SEARCH("Blast",$L172)),(4+$G172+(2-$G172)*0.5)/6*2,(4+$G172)/6)) *
_xlfn.IFS(AN$24-$I172 &lt;=1, 5/6, AN$24-$I172 &lt;=5, (7-(AN$24-$I172))/6, AND(AN$24-$I172 =6,NOT(_xlfn.IFNA(ISNUMBER(SEARCH("Rending",$L172)),FALSE))), (7-(AN$24-$I172))/6, AND(AN$24-$I172 &gt;=7,NOT(_xlfn.IFNA(ISNUMBER(SEARCH("Rending",$L172)),FALSE))), 0, AN$24-$I172 =7, (7-(AN$24-1-$I172))/6, AN$24-$I172 =8, (7-(AN$24-2-$I172))/6*2/3, AN$24-$I172 =9, (7-(AN$24-3-$I172))/6*1/3, TRUE, 0) *
IF(ISNUMBER(SEARCH("Ordinance",$L172)),7/6,1) *
IF(OR(ISNUMBER(SEARCH("Melee",$L172)),ISNUMBER(SEARCH("Bypass",$L172))),1.5,1)</f>
        <v>8.3333333333333329E-2</v>
      </c>
      <c r="AO172" s="17" cm="1">
        <f t="array" ref="AO172">$H172 *
IF(ISNUMBER(SEARCH("Rapid",$L172)),7/6,1) *
IF(OR(ISNUMBER(SEARCH("Beam",$L172)),ISNUMBER(SEARCH("Firestorm",$L172))),1, IF(ISNUMBER(SEARCH("Blast",$L172)),(4+$G172+(2-$G172)*0.5)/6*2,(4+$G172)/6)) *
_xlfn.IFS(AO$24-$I172 &lt;=1, 5/6, AO$24-$I172 &lt;=5, (7-(AO$24-$I172))/6, AND(AO$24-$I172 =6,NOT(_xlfn.IFNA(ISNUMBER(SEARCH("Rending",$L172)),FALSE))), (7-(AO$24-$I172))/6, AND(AO$24-$I172 &gt;=7,NOT(_xlfn.IFNA(ISNUMBER(SEARCH("Rending",$L172)),FALSE))), 0, AO$24-$I172 =7, (7-(AO$24-1-$I172))/6, AO$24-$I172 =8, (7-(AO$24-2-$I172))/6*2/3, AO$24-$I172 =9, (7-(AO$24-3-$I172))/6*1/3, TRUE, 0) *
IF(ISNUMBER(SEARCH("Ordinance",$L172)),7/6,1) *
IF(OR(ISNUMBER(SEARCH("Melee",$L172)),ISNUMBER(SEARCH("Bypass",$L172))),1.5,1)</f>
        <v>0</v>
      </c>
      <c r="AP172" s="17" cm="1">
        <f t="array" ref="AP172">$H172 *
IF(ISNUMBER(SEARCH("Rapid",$L172)),7/6,1) *
IF(OR(ISNUMBER(SEARCH("Beam",$L172)),ISNUMBER(SEARCH("Firestorm",$L172))),1, IF(ISNUMBER(SEARCH("Blast",$L172)),(4+$G172+(2-$G172)*0.5)/6*2,(4+$G172)/6)) *
_xlfn.IFS(AP$24-$I172 &lt;=1, 5/6, AP$24-$I172 &lt;=5, (7-(AP$24-$I172))/6, AND(AP$24-$I172 =6,NOT(_xlfn.IFNA(ISNUMBER(SEARCH("Rending",$L172)),FALSE))), (7-(AP$24-$I172))/6, AND(AP$24-$I172 &gt;=7,NOT(_xlfn.IFNA(ISNUMBER(SEARCH("Rending",$L172)),FALSE))), 0, AP$24-$I172 =7, (7-(AP$24-1-$I172))/6, AP$24-$I172 =8, (7-(AP$24-2-$I172))/6*2/3, AP$24-$I172 =9, (7-(AP$24-3-$I172))/6*1/3, TRUE, 0) *
IF(ISNUMBER(SEARCH("Ordinance",$L172)),7/6,1) *
IF(OR(ISNUMBER(SEARCH("Melee",$L172)),ISNUMBER(SEARCH("Bypass",$L172))),1.5,1)</f>
        <v>0</v>
      </c>
      <c r="AQ172" s="17" cm="1">
        <f t="array" ref="AQ172">$H172 *
IF(ISNUMBER(SEARCH("Rapid",$L172)),7/6,1) *
IF(OR(ISNUMBER(SEARCH("Beam",$L172)),ISNUMBER(SEARCH("Firestorm",$L172))),1, IF(ISNUMBER(SEARCH("Blast",$L172)),(4+$G172+(2-$G172)*0.5)/6*2,(4+$G172)/6)) *
_xlfn.IFS(AQ$24-$I172 &lt;=1, 5/6, AQ$24-$I172 &lt;=5, (7-(AQ$24-$I172))/6, AND(AQ$24-$I172 =6,NOT(_xlfn.IFNA(ISNUMBER(SEARCH("Rending",$L172)),FALSE))), (7-(AQ$24-$I172))/6, AND(AQ$24-$I172 &gt;=7,NOT(_xlfn.IFNA(ISNUMBER(SEARCH("Rending",$L172)),FALSE))), 0, AQ$24-$I172 =7, (7-(AQ$24-1-$I172))/6, AQ$24-$I172 =8, (7-(AQ$24-2-$I172))/6*2/3, AQ$24-$I172 =9, (7-(AQ$24-3-$I172))/6*1/3, TRUE, 0) *
IF(ISNUMBER(SEARCH("Ordinance",$L172)),7/6,1) *
IF(OR(ISNUMBER(SEARCH("Melee",$L172)),ISNUMBER(SEARCH("Bypass",$L172))),1.5,1)</f>
        <v>0</v>
      </c>
      <c r="AS172" s="16">
        <f t="shared" si="41"/>
        <v>0.16666666666666666</v>
      </c>
      <c r="AT172" s="16">
        <f t="shared" si="42"/>
        <v>0.25</v>
      </c>
      <c r="AU172" s="16">
        <f t="shared" si="43"/>
        <v>0.25805555555555554</v>
      </c>
      <c r="AV172" s="2">
        <v>10</v>
      </c>
    </row>
    <row r="173" spans="1:48" x14ac:dyDescent="0.3">
      <c r="A173" t="s">
        <v>488</v>
      </c>
      <c r="B173" s="3">
        <v>2</v>
      </c>
      <c r="D173" s="3">
        <v>1</v>
      </c>
      <c r="F173" s="10">
        <v>1</v>
      </c>
      <c r="G173" s="10"/>
      <c r="H173" s="3">
        <v>2</v>
      </c>
      <c r="I173" s="3">
        <v>6</v>
      </c>
      <c r="M173" s="3" t="s">
        <v>225</v>
      </c>
      <c r="V173" s="16">
        <f t="shared" si="33"/>
        <v>0.55555555555555558</v>
      </c>
      <c r="W173" s="16">
        <f t="shared" si="34"/>
        <v>0.83333333333333337</v>
      </c>
      <c r="X173" s="17" cm="1">
        <f t="array" ref="X173">$H173 *
IF(ISNUMBER(SEARCH("Rapid",$L173)),7/6,1) *
IF(OR(ISNUMBER(SEARCH("Beam",$L173)),ISNUMBER(SEARCH("Firestorm",$L173))),1, IF(ISNUMBER(SEARCH("Blast",$L173)),(4+$F173+(2-$F173)*0.5)/6*2,(4+$F173)/6)) *
IF(ISNUMBER(SEARCH("Fusion",$L173)), _xlfn.IFS(X$24-$I173 &lt;=1, 9/10, X$24-$I173 &lt;=10,(11-(X$24-$I173))/10, X$24-$I173 &gt;=11, 0),
_xlfn.IFS(X$24-$I173 &lt;=1, 5/6, X$24-$I173 &lt;=5, (7-(X$24-$I173))/6, AND(X$24-$I173 =6,NOT(_xlfn.IFNA(ISNUMBER(SEARCH("Rending",$L173)),FALSE))), (7-(X$24-$I173))/6, AND(X$24-$I173 &gt;=7,NOT(_xlfn.IFNA(ISNUMBER(SEARCH("Rending",$L173)),FALSE))), 0, X$24-$I173 =7, (7-(X$24-1-$I173))/6, X$24-$I173 =8, (7-(X$24-2-$I173))/6*2/3, X$24-$I173 =9, (7-(X$24-3-$I173))/6*1/3, TRUE, 0)) *
IF(ISNUMBER(SEARCH("Ordinance",$L173)),7/6,1) *
IF(OR(ISNUMBER(SEARCH("Melee",$L173)),ISNUMBER(SEARCH("Bypass",$L173))),1.5,1)</f>
        <v>1.1111111111111112</v>
      </c>
      <c r="Y173" s="17" cm="1">
        <f t="array" ref="Y173">$H173 *
IF(ISNUMBER(SEARCH("Rapid",$L173)),7/6,1) *
IF(OR(ISNUMBER(SEARCH("Beam",$L173)),ISNUMBER(SEARCH("Firestorm",$L173))),1, IF(ISNUMBER(SEARCH("Blast",$L173)),(4+$F173+(2-$F173)*0.5)/6*2,(4+$F173)/6)) *
IF(ISNUMBER(SEARCH("Fusion",$L173)), _xlfn.IFS(Y$24-$I173 &lt;=1, 9/10, Y$24-$I173 &lt;=10,(11-(Y$24-$I173))/10, Y$24-$I173 &gt;=11, 0),
_xlfn.IFS(Y$24-$I173 &lt;=1, 5/6, Y$24-$I173 &lt;=5, (7-(Y$24-$I173))/6, AND(Y$24-$I173 =6,NOT(_xlfn.IFNA(ISNUMBER(SEARCH("Rending",$L173)),FALSE))), (7-(Y$24-$I173))/6, AND(Y$24-$I173 &gt;=7,NOT(_xlfn.IFNA(ISNUMBER(SEARCH("Rending",$L173)),FALSE))), 0, Y$24-$I173 =7, (7-(Y$24-1-$I173))/6, Y$24-$I173 =8, (7-(Y$24-2-$I173))/6*2/3, Y$24-$I173 =9, (7-(Y$24-3-$I173))/6*1/3, TRUE, 0)) *
IF(ISNUMBER(SEARCH("Ordinance",$L173)),7/6,1) *
IF(OR(ISNUMBER(SEARCH("Melee",$L173)),ISNUMBER(SEARCH("Bypass",$L173))),1.5,1)</f>
        <v>0.83333333333333337</v>
      </c>
      <c r="Z173" s="17" cm="1">
        <f t="array" ref="Z173">$H173 *
IF(ISNUMBER(SEARCH("Rapid",$L173)),7/6,1) *
IF(OR(ISNUMBER(SEARCH("Beam",$L173)),ISNUMBER(SEARCH("Firestorm",$L173))),1, IF(ISNUMBER(SEARCH("Blast",$L173)),(4+$F173+(2-$F173)*0.5)/6*2,(4+$F173)/6)) *
IF(ISNUMBER(SEARCH("Fusion",$L173)), _xlfn.IFS(Z$24-$I173 &lt;=1, 9/10, Z$24-$I173 &lt;=10,(11-(Z$24-$I173))/10, Z$24-$I173 &gt;=11, 0),
_xlfn.IFS(Z$24-$I173 &lt;=1, 5/6, Z$24-$I173 &lt;=5, (7-(Z$24-$I173))/6, AND(Z$24-$I173 =6,NOT(_xlfn.IFNA(ISNUMBER(SEARCH("Rending",$L173)),FALSE))), (7-(Z$24-$I173))/6, AND(Z$24-$I173 &gt;=7,NOT(_xlfn.IFNA(ISNUMBER(SEARCH("Rending",$L173)),FALSE))), 0, Z$24-$I173 =7, (7-(Z$24-1-$I173))/6, Z$24-$I173 =8, (7-(Z$24-2-$I173))/6*2/3, Z$24-$I173 =9, (7-(Z$24-3-$I173))/6*1/3, TRUE, 0)) *
IF(ISNUMBER(SEARCH("Ordinance",$L173)),7/6,1) *
IF(OR(ISNUMBER(SEARCH("Melee",$L173)),ISNUMBER(SEARCH("Bypass",$L173))),1.5,1)</f>
        <v>0.55555555555555558</v>
      </c>
      <c r="AA173" s="17" cm="1">
        <f t="array" ref="AA173">$H173 *
IF(ISNUMBER(SEARCH("Rapid",$L173)),7/6,1) *
IF(OR(ISNUMBER(SEARCH("Beam",$L173)),ISNUMBER(SEARCH("Firestorm",$L173))),1, IF(ISNUMBER(SEARCH("Blast",$L173)),(4+$F173+(2-$F173)*0.5)/6*2,(4+$F173)/6)) *
IF(ISNUMBER(SEARCH("Fusion",$L173)), _xlfn.IFS(AA$24-$I173 &lt;=1, 9/10, AA$24-$I173 &lt;=10,(11-(AA$24-$I173))/10, AA$24-$I173 &gt;=11, 0),
_xlfn.IFS(AA$24-$I173 &lt;=1, 5/6, AA$24-$I173 &lt;=5, (7-(AA$24-$I173))/6, AND(AA$24-$I173 =6,NOT(_xlfn.IFNA(ISNUMBER(SEARCH("Rending",$L173)),FALSE))), (7-(AA$24-$I173))/6, AND(AA$24-$I173 &gt;=7,NOT(_xlfn.IFNA(ISNUMBER(SEARCH("Rending",$L173)),FALSE))), 0, AA$24-$I173 =7, (7-(AA$24-1-$I173))/6, AA$24-$I173 =8, (7-(AA$24-2-$I173))/6*2/3, AA$24-$I173 =9, (7-(AA$24-3-$I173))/6*1/3, TRUE, 0)) *
IF(ISNUMBER(SEARCH("Ordinance",$L173)),7/6,1) *
IF(OR(ISNUMBER(SEARCH("Melee",$L173)),ISNUMBER(SEARCH("Bypass",$L173))),1.5,1)</f>
        <v>0.27777777777777779</v>
      </c>
      <c r="AB173" s="17" cm="1">
        <f t="array" ref="AB173">$H173 *
IF(ISNUMBER(SEARCH("Rapid",$L173)),7/6,1) *
IF(OR(ISNUMBER(SEARCH("Beam",$L173)),ISNUMBER(SEARCH("Firestorm",$L173))),1, IF(ISNUMBER(SEARCH("Blast",$L173)),(4+$F173+(2-$F173)*0.5)/6*2,(4+$F173)/6)) *
IF(ISNUMBER(SEARCH("Fusion",$L173)), _xlfn.IFS(AB$24-$I173 &lt;=1, 9/10, AB$24-$I173 &lt;=10,(11-(AB$24-$I173))/10, AB$24-$I173 &gt;=11, 0),
_xlfn.IFS(AB$24-$I173 &lt;=1, 5/6, AB$24-$I173 &lt;=5, (7-(AB$24-$I173))/6, AND(AB$24-$I173 =6,NOT(_xlfn.IFNA(ISNUMBER(SEARCH("Rending",$L173)),FALSE))), (7-(AB$24-$I173))/6, AND(AB$24-$I173 &gt;=7,NOT(_xlfn.IFNA(ISNUMBER(SEARCH("Rending",$L173)),FALSE))), 0, AB$24-$I173 =7, (7-(AB$24-1-$I173))/6, AB$24-$I173 =8, (7-(AB$24-2-$I173))/6*2/3, AB$24-$I173 =9, (7-(AB$24-3-$I173))/6*1/3, TRUE, 0)) *
IF(ISNUMBER(SEARCH("Ordinance",$L173)),7/6,1) *
IF(OR(ISNUMBER(SEARCH("Melee",$L173)),ISNUMBER(SEARCH("Bypass",$L173))),1.5,1)</f>
        <v>0</v>
      </c>
      <c r="AC173" s="17" cm="1">
        <f t="array" ref="AC173">$H173 *
IF(ISNUMBER(SEARCH("Rapid",$L173)),7/6,1) *
IF(OR(ISNUMBER(SEARCH("Beam",$L173)),ISNUMBER(SEARCH("Firestorm",$L173))),1, IF(ISNUMBER(SEARCH("Blast",$L173)),(4+$F173+(2-$F173)*0.5)/6*2,(4+$F173)/6)) *
IF(ISNUMBER(SEARCH("Fusion",$L173)), _xlfn.IFS(AC$24-$I173 &lt;=1, 9/10, AC$24-$I173 &lt;=10,(11-(AC$24-$I173))/10, AC$24-$I173 &gt;=11, 0),
_xlfn.IFS(AC$24-$I173 &lt;=1, 5/6, AC$24-$I173 &lt;=5, (7-(AC$24-$I173))/6, AND(AC$24-$I173 =6,NOT(_xlfn.IFNA(ISNUMBER(SEARCH("Rending",$L173)),FALSE))), (7-(AC$24-$I173))/6, AND(AC$24-$I173 &gt;=7,NOT(_xlfn.IFNA(ISNUMBER(SEARCH("Rending",$L173)),FALSE))), 0, AC$24-$I173 =7, (7-(AC$24-1-$I173))/6, AC$24-$I173 =8, (7-(AC$24-2-$I173))/6*2/3, AC$24-$I173 =9, (7-(AC$24-3-$I173))/6*1/3, TRUE, 0)) *
IF(ISNUMBER(SEARCH("Ordinance",$L173)),7/6,1) *
IF(OR(ISNUMBER(SEARCH("Melee",$L173)),ISNUMBER(SEARCH("Bypass",$L173))),1.5,1)</f>
        <v>0</v>
      </c>
      <c r="AD173" s="17" cm="1">
        <f t="array" ref="AD173">$H173 *
IF(ISNUMBER(SEARCH("Rapid",$L173)),7/6,1) *
IF(OR(ISNUMBER(SEARCH("Beam",$L173)),ISNUMBER(SEARCH("Firestorm",$L173))),1, IF(ISNUMBER(SEARCH("Blast",$L173)),(4+$F173+(2-$F173)*0.5)/6*2,(4+$F173)/6)) *
IF(ISNUMBER(SEARCH("Fusion",$L173)), _xlfn.IFS(AD$24-$I173 &lt;=1, 9/10, AD$24-$I173 &lt;=10,(11-(AD$24-$I173))/10, AD$24-$I173 &gt;=11, 0),
_xlfn.IFS(AD$24-$I173 &lt;=1, 5/6, AD$24-$I173 &lt;=5, (7-(AD$24-$I173))/6, AND(AD$24-$I173 =6,NOT(_xlfn.IFNA(ISNUMBER(SEARCH("Rending",$L173)),FALSE))), (7-(AD$24-$I173))/6, AND(AD$24-$I173 &gt;=7,NOT(_xlfn.IFNA(ISNUMBER(SEARCH("Rending",$L173)),FALSE))), 0, AD$24-$I173 =7, (7-(AD$24-1-$I173))/6, AD$24-$I173 =8, (7-(AD$24-2-$I173))/6*2/3, AD$24-$I173 =9, (7-(AD$24-3-$I173))/6*1/3, TRUE, 0)) *
IF(ISNUMBER(SEARCH("Ordinance",$L173)),7/6,1) *
IF(OR(ISNUMBER(SEARCH("Melee",$L173)),ISNUMBER(SEARCH("Bypass",$L173))),1.5,1)</f>
        <v>0</v>
      </c>
      <c r="AE173" s="17" cm="1">
        <f t="array" ref="AE173">$H173 *
IF(ISNUMBER(SEARCH("Rapid",$L173)),7/6,1) *
IF(OR(ISNUMBER(SEARCH("Beam",$L173)),ISNUMBER(SEARCH("Firestorm",$L173))),1, IF(ISNUMBER(SEARCH("Blast",$L173)),(4+$F173+(2-$F173)*0.5)/6*2,(4+$F173)/6)) *
IF(ISNUMBER(SEARCH("Fusion",$L173)), _xlfn.IFS(AE$24-$I173 &lt;=1, 9/10, AE$24-$I173 &lt;=10,(11-(AE$24-$I173))/10, AE$24-$I173 &gt;=11, 0),
_xlfn.IFS(AE$24-$I173 &lt;=1, 5/6, AE$24-$I173 &lt;=5, (7-(AE$24-$I173))/6, AND(AE$24-$I173 =6,NOT(_xlfn.IFNA(ISNUMBER(SEARCH("Rending",$L173)),FALSE))), (7-(AE$24-$I173))/6, AND(AE$24-$I173 &gt;=7,NOT(_xlfn.IFNA(ISNUMBER(SEARCH("Rending",$L173)),FALSE))), 0, AE$24-$I173 =7, (7-(AE$24-1-$I173))/6, AE$24-$I173 =8, (7-(AE$24-2-$I173))/6*2/3, AE$24-$I173 =9, (7-(AE$24-3-$I173))/6*1/3, TRUE, 0)) *
IF(ISNUMBER(SEARCH("Ordinance",$L173)),7/6,1) *
IF(OR(ISNUMBER(SEARCH("Melee",$L173)),ISNUMBER(SEARCH("Bypass",$L173))),1.5,1)</f>
        <v>0</v>
      </c>
      <c r="AF173" s="17" cm="1">
        <f t="array" ref="AF173">$H173 *
IF(ISNUMBER(SEARCH("Rapid",$L173)),7/6,1) *
IF(OR(ISNUMBER(SEARCH("Beam",$L173)),ISNUMBER(SEARCH("Firestorm",$L173))),1, IF(ISNUMBER(SEARCH("Blast",$L173)),(4+$F173+(2-$F173)*0.5)/6*2,(4+$F173)/6)) *
IF(ISNUMBER(SEARCH("Fusion",$L173)), _xlfn.IFS(AF$24-$I173 &lt;=1, 9/10, AF$24-$I173 &lt;=10,(11-(AF$24-$I173))/10, AF$24-$I173 &gt;=11, 0),
_xlfn.IFS(AF$24-$I173 &lt;=1, 5/6, AF$24-$I173 &lt;=5, (7-(AF$24-$I173))/6, AND(AF$24-$I173 =6,NOT(_xlfn.IFNA(ISNUMBER(SEARCH("Rending",$L173)),FALSE))), (7-(AF$24-$I173))/6, AND(AF$24-$I173 &gt;=7,NOT(_xlfn.IFNA(ISNUMBER(SEARCH("Rending",$L173)),FALSE))), 0, AF$24-$I173 =7, (7-(AF$24-1-$I173))/6, AF$24-$I173 =8, (7-(AF$24-2-$I173))/6*2/3, AF$24-$I173 =9, (7-(AF$24-3-$I173))/6*1/3, TRUE, 0)) *
IF(ISNUMBER(SEARCH("Ordinance",$L173)),7/6,1) *
IF(OR(ISNUMBER(SEARCH("Melee",$L173)),ISNUMBER(SEARCH("Bypass",$L173))),1.5,1)</f>
        <v>0</v>
      </c>
      <c r="AG173" s="16">
        <f t="shared" si="35"/>
        <v>0.44444444444444442</v>
      </c>
      <c r="AH173" s="16">
        <f t="shared" si="36"/>
        <v>0.66666666666666663</v>
      </c>
      <c r="AI173" s="17" cm="1">
        <f t="array" ref="AI173">$H173 *
IF(ISNUMBER(SEARCH("Rapid",$L173)),7/6,1) *
IF(OR(ISNUMBER(SEARCH("Beam",$L173)),ISNUMBER(SEARCH("Firestorm",$L173))),1, IF(ISNUMBER(SEARCH("Blast",$L173)),(4+$G173+(2-$G173)*0.5)/6*2,(4+$G173)/6)) *
_xlfn.IFS(AI$24-$I173 &lt;=1, 5/6, AI$24-$I173 &lt;=5, (7-(AI$24-$I173))/6, AND(AI$24-$I173 =6,NOT(_xlfn.IFNA(ISNUMBER(SEARCH("Rending",$L173)),FALSE))), (7-(AI$24-$I173))/6, AND(AI$24-$I173 &gt;=7,NOT(_xlfn.IFNA(ISNUMBER(SEARCH("Rending",$L173)),FALSE))), 0, AI$24-$I173 =7, (7-(AI$24-1-$I173))/6, AI$24-$I173 =8, (7-(AI$24-2-$I173))/6*2/3, AI$24-$I173 =9, (7-(AI$24-3-$I173))/6*1/3, TRUE, 0) *
IF(ISNUMBER(SEARCH("Ordinance",$L173)),7/6,1) *
IF(OR(ISNUMBER(SEARCH("Melee",$L173)),ISNUMBER(SEARCH("Bypass",$L173))),1.5,1)</f>
        <v>0.88888888888888884</v>
      </c>
      <c r="AJ173" s="17" cm="1">
        <f t="array" ref="AJ173">$H173 *
IF(ISNUMBER(SEARCH("Rapid",$L173)),7/6,1) *
IF(OR(ISNUMBER(SEARCH("Beam",$L173)),ISNUMBER(SEARCH("Firestorm",$L173))),1, IF(ISNUMBER(SEARCH("Blast",$L173)),(4+$G173+(2-$G173)*0.5)/6*2,(4+$G173)/6)) *
_xlfn.IFS(AJ$24-$I173 &lt;=1, 5/6, AJ$24-$I173 &lt;=5, (7-(AJ$24-$I173))/6, AND(AJ$24-$I173 =6,NOT(_xlfn.IFNA(ISNUMBER(SEARCH("Rending",$L173)),FALSE))), (7-(AJ$24-$I173))/6, AND(AJ$24-$I173 &gt;=7,NOT(_xlfn.IFNA(ISNUMBER(SEARCH("Rending",$L173)),FALSE))), 0, AJ$24-$I173 =7, (7-(AJ$24-1-$I173))/6, AJ$24-$I173 =8, (7-(AJ$24-2-$I173))/6*2/3, AJ$24-$I173 =9, (7-(AJ$24-3-$I173))/6*1/3, TRUE, 0) *
IF(ISNUMBER(SEARCH("Ordinance",$L173)),7/6,1) *
IF(OR(ISNUMBER(SEARCH("Melee",$L173)),ISNUMBER(SEARCH("Bypass",$L173))),1.5,1)</f>
        <v>0.66666666666666663</v>
      </c>
      <c r="AK173" s="17" cm="1">
        <f t="array" ref="AK173">$H173 *
IF(ISNUMBER(SEARCH("Rapid",$L173)),7/6,1) *
IF(OR(ISNUMBER(SEARCH("Beam",$L173)),ISNUMBER(SEARCH("Firestorm",$L173))),1, IF(ISNUMBER(SEARCH("Blast",$L173)),(4+$G173+(2-$G173)*0.5)/6*2,(4+$G173)/6)) *
_xlfn.IFS(AK$24-$I173 &lt;=1, 5/6, AK$24-$I173 &lt;=5, (7-(AK$24-$I173))/6, AND(AK$24-$I173 =6,NOT(_xlfn.IFNA(ISNUMBER(SEARCH("Rending",$L173)),FALSE))), (7-(AK$24-$I173))/6, AND(AK$24-$I173 &gt;=7,NOT(_xlfn.IFNA(ISNUMBER(SEARCH("Rending",$L173)),FALSE))), 0, AK$24-$I173 =7, (7-(AK$24-1-$I173))/6, AK$24-$I173 =8, (7-(AK$24-2-$I173))/6*2/3, AK$24-$I173 =9, (7-(AK$24-3-$I173))/6*1/3, TRUE, 0) *
IF(ISNUMBER(SEARCH("Ordinance",$L173)),7/6,1) *
IF(OR(ISNUMBER(SEARCH("Melee",$L173)),ISNUMBER(SEARCH("Bypass",$L173))),1.5,1)</f>
        <v>0.44444444444444442</v>
      </c>
      <c r="AL173" s="17" cm="1">
        <f t="array" ref="AL173">$H173 *
IF(ISNUMBER(SEARCH("Rapid",$L173)),7/6,1) *
IF(OR(ISNUMBER(SEARCH("Beam",$L173)),ISNUMBER(SEARCH("Firestorm",$L173))),1, IF(ISNUMBER(SEARCH("Blast",$L173)),(4+$G173+(2-$G173)*0.5)/6*2,(4+$G173)/6)) *
_xlfn.IFS(AL$24-$I173 &lt;=1, 5/6, AL$24-$I173 &lt;=5, (7-(AL$24-$I173))/6, AND(AL$24-$I173 =6,NOT(_xlfn.IFNA(ISNUMBER(SEARCH("Rending",$L173)),FALSE))), (7-(AL$24-$I173))/6, AND(AL$24-$I173 &gt;=7,NOT(_xlfn.IFNA(ISNUMBER(SEARCH("Rending",$L173)),FALSE))), 0, AL$24-$I173 =7, (7-(AL$24-1-$I173))/6, AL$24-$I173 =8, (7-(AL$24-2-$I173))/6*2/3, AL$24-$I173 =9, (7-(AL$24-3-$I173))/6*1/3, TRUE, 0) *
IF(ISNUMBER(SEARCH("Ordinance",$L173)),7/6,1) *
IF(OR(ISNUMBER(SEARCH("Melee",$L173)),ISNUMBER(SEARCH("Bypass",$L173))),1.5,1)</f>
        <v>0.22222222222222221</v>
      </c>
      <c r="AM173" s="17" cm="1">
        <f t="array" ref="AM173">$H173 *
IF(ISNUMBER(SEARCH("Rapid",$L173)),7/6,1) *
IF(OR(ISNUMBER(SEARCH("Beam",$L173)),ISNUMBER(SEARCH("Firestorm",$L173))),1, IF(ISNUMBER(SEARCH("Blast",$L173)),(4+$G173+(2-$G173)*0.5)/6*2,(4+$G173)/6)) *
_xlfn.IFS(AM$24-$I173 &lt;=1, 5/6, AM$24-$I173 &lt;=5, (7-(AM$24-$I173))/6, AND(AM$24-$I173 =6,NOT(_xlfn.IFNA(ISNUMBER(SEARCH("Rending",$L173)),FALSE))), (7-(AM$24-$I173))/6, AND(AM$24-$I173 &gt;=7,NOT(_xlfn.IFNA(ISNUMBER(SEARCH("Rending",$L173)),FALSE))), 0, AM$24-$I173 =7, (7-(AM$24-1-$I173))/6, AM$24-$I173 =8, (7-(AM$24-2-$I173))/6*2/3, AM$24-$I173 =9, (7-(AM$24-3-$I173))/6*1/3, TRUE, 0) *
IF(ISNUMBER(SEARCH("Ordinance",$L173)),7/6,1) *
IF(OR(ISNUMBER(SEARCH("Melee",$L173)),ISNUMBER(SEARCH("Bypass",$L173))),1.5,1)</f>
        <v>0</v>
      </c>
      <c r="AN173" s="17" cm="1">
        <f t="array" ref="AN173">$H173 *
IF(ISNUMBER(SEARCH("Rapid",$L173)),7/6,1) *
IF(OR(ISNUMBER(SEARCH("Beam",$L173)),ISNUMBER(SEARCH("Firestorm",$L173))),1, IF(ISNUMBER(SEARCH("Blast",$L173)),(4+$G173+(2-$G173)*0.5)/6*2,(4+$G173)/6)) *
_xlfn.IFS(AN$24-$I173 &lt;=1, 5/6, AN$24-$I173 &lt;=5, (7-(AN$24-$I173))/6, AND(AN$24-$I173 =6,NOT(_xlfn.IFNA(ISNUMBER(SEARCH("Rending",$L173)),FALSE))), (7-(AN$24-$I173))/6, AND(AN$24-$I173 &gt;=7,NOT(_xlfn.IFNA(ISNUMBER(SEARCH("Rending",$L173)),FALSE))), 0, AN$24-$I173 =7, (7-(AN$24-1-$I173))/6, AN$24-$I173 =8, (7-(AN$24-2-$I173))/6*2/3, AN$24-$I173 =9, (7-(AN$24-3-$I173))/6*1/3, TRUE, 0) *
IF(ISNUMBER(SEARCH("Ordinance",$L173)),7/6,1) *
IF(OR(ISNUMBER(SEARCH("Melee",$L173)),ISNUMBER(SEARCH("Bypass",$L173))),1.5,1)</f>
        <v>0</v>
      </c>
      <c r="AO173" s="17" cm="1">
        <f t="array" ref="AO173">$H173 *
IF(ISNUMBER(SEARCH("Rapid",$L173)),7/6,1) *
IF(OR(ISNUMBER(SEARCH("Beam",$L173)),ISNUMBER(SEARCH("Firestorm",$L173))),1, IF(ISNUMBER(SEARCH("Blast",$L173)),(4+$G173+(2-$G173)*0.5)/6*2,(4+$G173)/6)) *
_xlfn.IFS(AO$24-$I173 &lt;=1, 5/6, AO$24-$I173 &lt;=5, (7-(AO$24-$I173))/6, AND(AO$24-$I173 =6,NOT(_xlfn.IFNA(ISNUMBER(SEARCH("Rending",$L173)),FALSE))), (7-(AO$24-$I173))/6, AND(AO$24-$I173 &gt;=7,NOT(_xlfn.IFNA(ISNUMBER(SEARCH("Rending",$L173)),FALSE))), 0, AO$24-$I173 =7, (7-(AO$24-1-$I173))/6, AO$24-$I173 =8, (7-(AO$24-2-$I173))/6*2/3, AO$24-$I173 =9, (7-(AO$24-3-$I173))/6*1/3, TRUE, 0) *
IF(ISNUMBER(SEARCH("Ordinance",$L173)),7/6,1) *
IF(OR(ISNUMBER(SEARCH("Melee",$L173)),ISNUMBER(SEARCH("Bypass",$L173))),1.5,1)</f>
        <v>0</v>
      </c>
      <c r="AP173" s="17" cm="1">
        <f t="array" ref="AP173">$H173 *
IF(ISNUMBER(SEARCH("Rapid",$L173)),7/6,1) *
IF(OR(ISNUMBER(SEARCH("Beam",$L173)),ISNUMBER(SEARCH("Firestorm",$L173))),1, IF(ISNUMBER(SEARCH("Blast",$L173)),(4+$G173+(2-$G173)*0.5)/6*2,(4+$G173)/6)) *
_xlfn.IFS(AP$24-$I173 &lt;=1, 5/6, AP$24-$I173 &lt;=5, (7-(AP$24-$I173))/6, AND(AP$24-$I173 =6,NOT(_xlfn.IFNA(ISNUMBER(SEARCH("Rending",$L173)),FALSE))), (7-(AP$24-$I173))/6, AND(AP$24-$I173 &gt;=7,NOT(_xlfn.IFNA(ISNUMBER(SEARCH("Rending",$L173)),FALSE))), 0, AP$24-$I173 =7, (7-(AP$24-1-$I173))/6, AP$24-$I173 =8, (7-(AP$24-2-$I173))/6*2/3, AP$24-$I173 =9, (7-(AP$24-3-$I173))/6*1/3, TRUE, 0) *
IF(ISNUMBER(SEARCH("Ordinance",$L173)),7/6,1) *
IF(OR(ISNUMBER(SEARCH("Melee",$L173)),ISNUMBER(SEARCH("Bypass",$L173))),1.5,1)</f>
        <v>0</v>
      </c>
      <c r="AQ173" s="17" cm="1">
        <f t="array" ref="AQ173">$H173 *
IF(ISNUMBER(SEARCH("Rapid",$L173)),7/6,1) *
IF(OR(ISNUMBER(SEARCH("Beam",$L173)),ISNUMBER(SEARCH("Firestorm",$L173))),1, IF(ISNUMBER(SEARCH("Blast",$L173)),(4+$G173+(2-$G173)*0.5)/6*2,(4+$G173)/6)) *
_xlfn.IFS(AQ$24-$I173 &lt;=1, 5/6, AQ$24-$I173 &lt;=5, (7-(AQ$24-$I173))/6, AND(AQ$24-$I173 =6,NOT(_xlfn.IFNA(ISNUMBER(SEARCH("Rending",$L173)),FALSE))), (7-(AQ$24-$I173))/6, AND(AQ$24-$I173 &gt;=7,NOT(_xlfn.IFNA(ISNUMBER(SEARCH("Rending",$L173)),FALSE))), 0, AQ$24-$I173 =7, (7-(AQ$24-1-$I173))/6, AQ$24-$I173 =8, (7-(AQ$24-2-$I173))/6*2/3, AQ$24-$I173 =9, (7-(AQ$24-3-$I173))/6*1/3, TRUE, 0) *
IF(ISNUMBER(SEARCH("Ordinance",$L173)),7/6,1) *
IF(OR(ISNUMBER(SEARCH("Melee",$L173)),ISNUMBER(SEARCH("Bypass",$L173))),1.5,1)</f>
        <v>0</v>
      </c>
      <c r="AS173" s="16">
        <f t="shared" si="41"/>
        <v>0.16296296296296298</v>
      </c>
      <c r="AT173" s="16">
        <f t="shared" si="42"/>
        <v>0.24444444444444446</v>
      </c>
      <c r="AU173" s="16">
        <f t="shared" si="43"/>
        <v>0.25925925925925924</v>
      </c>
      <c r="AV173" s="2">
        <v>10</v>
      </c>
    </row>
    <row r="174" spans="1:48" x14ac:dyDescent="0.3">
      <c r="A174" t="s">
        <v>489</v>
      </c>
      <c r="B174" s="3">
        <v>12</v>
      </c>
      <c r="C174" s="3">
        <v>20</v>
      </c>
      <c r="D174" s="3">
        <v>1</v>
      </c>
      <c r="E174" s="3">
        <v>1</v>
      </c>
      <c r="F174" s="10">
        <v>1</v>
      </c>
      <c r="G174" s="10"/>
      <c r="H174" s="3">
        <v>1</v>
      </c>
      <c r="I174" s="3">
        <v>5</v>
      </c>
      <c r="M174" s="3" t="s">
        <v>225</v>
      </c>
      <c r="V174" s="16">
        <f t="shared" si="33"/>
        <v>0.27777777777777779</v>
      </c>
      <c r="W174" s="16">
        <f t="shared" si="34"/>
        <v>0.41666666666666669</v>
      </c>
      <c r="X174" s="17" cm="1">
        <f t="array" ref="X174">$H174 *
IF(ISNUMBER(SEARCH("Rapid",$L174)),7/6,1) *
IF(OR(ISNUMBER(SEARCH("Beam",$L174)),ISNUMBER(SEARCH("Firestorm",$L174))),1, IF(ISNUMBER(SEARCH("Blast",$L174)),(4+$F174+(2-$F174)*0.5)/6*2,(4+$F174)/6)) *
IF(ISNUMBER(SEARCH("Fusion",$L174)), _xlfn.IFS(X$24-$I174 &lt;=1, 9/10, X$24-$I174 &lt;=10,(11-(X$24-$I174))/10, X$24-$I174 &gt;=11, 0),
_xlfn.IFS(X$24-$I174 &lt;=1, 5/6, X$24-$I174 &lt;=5, (7-(X$24-$I174))/6, AND(X$24-$I174 =6,NOT(_xlfn.IFNA(ISNUMBER(SEARCH("Rending",$L174)),FALSE))), (7-(X$24-$I174))/6, AND(X$24-$I174 &gt;=7,NOT(_xlfn.IFNA(ISNUMBER(SEARCH("Rending",$L174)),FALSE))), 0, X$24-$I174 =7, (7-(X$24-1-$I174))/6, X$24-$I174 =8, (7-(X$24-2-$I174))/6*2/3, X$24-$I174 =9, (7-(X$24-3-$I174))/6*1/3, TRUE, 0)) *
IF(ISNUMBER(SEARCH("Ordinance",$L174)),7/6,1) *
IF(OR(ISNUMBER(SEARCH("Melee",$L174)),ISNUMBER(SEARCH("Bypass",$L174))),1.5,1)</f>
        <v>0.41666666666666669</v>
      </c>
      <c r="Y174" s="17" cm="1">
        <f t="array" ref="Y174">$H174 *
IF(ISNUMBER(SEARCH("Rapid",$L174)),7/6,1) *
IF(OR(ISNUMBER(SEARCH("Beam",$L174)),ISNUMBER(SEARCH("Firestorm",$L174))),1, IF(ISNUMBER(SEARCH("Blast",$L174)),(4+$F174+(2-$F174)*0.5)/6*2,(4+$F174)/6)) *
IF(ISNUMBER(SEARCH("Fusion",$L174)), _xlfn.IFS(Y$24-$I174 &lt;=1, 9/10, Y$24-$I174 &lt;=10,(11-(Y$24-$I174))/10, Y$24-$I174 &gt;=11, 0),
_xlfn.IFS(Y$24-$I174 &lt;=1, 5/6, Y$24-$I174 &lt;=5, (7-(Y$24-$I174))/6, AND(Y$24-$I174 =6,NOT(_xlfn.IFNA(ISNUMBER(SEARCH("Rending",$L174)),FALSE))), (7-(Y$24-$I174))/6, AND(Y$24-$I174 &gt;=7,NOT(_xlfn.IFNA(ISNUMBER(SEARCH("Rending",$L174)),FALSE))), 0, Y$24-$I174 =7, (7-(Y$24-1-$I174))/6, Y$24-$I174 =8, (7-(Y$24-2-$I174))/6*2/3, Y$24-$I174 =9, (7-(Y$24-3-$I174))/6*1/3, TRUE, 0)) *
IF(ISNUMBER(SEARCH("Ordinance",$L174)),7/6,1) *
IF(OR(ISNUMBER(SEARCH("Melee",$L174)),ISNUMBER(SEARCH("Bypass",$L174))),1.5,1)</f>
        <v>0.27777777777777779</v>
      </c>
      <c r="Z174" s="17" cm="1">
        <f t="array" ref="Z174">$H174 *
IF(ISNUMBER(SEARCH("Rapid",$L174)),7/6,1) *
IF(OR(ISNUMBER(SEARCH("Beam",$L174)),ISNUMBER(SEARCH("Firestorm",$L174))),1, IF(ISNUMBER(SEARCH("Blast",$L174)),(4+$F174+(2-$F174)*0.5)/6*2,(4+$F174)/6)) *
IF(ISNUMBER(SEARCH("Fusion",$L174)), _xlfn.IFS(Z$24-$I174 &lt;=1, 9/10, Z$24-$I174 &lt;=10,(11-(Z$24-$I174))/10, Z$24-$I174 &gt;=11, 0),
_xlfn.IFS(Z$24-$I174 &lt;=1, 5/6, Z$24-$I174 &lt;=5, (7-(Z$24-$I174))/6, AND(Z$24-$I174 =6,NOT(_xlfn.IFNA(ISNUMBER(SEARCH("Rending",$L174)),FALSE))), (7-(Z$24-$I174))/6, AND(Z$24-$I174 &gt;=7,NOT(_xlfn.IFNA(ISNUMBER(SEARCH("Rending",$L174)),FALSE))), 0, Z$24-$I174 =7, (7-(Z$24-1-$I174))/6, Z$24-$I174 =8, (7-(Z$24-2-$I174))/6*2/3, Z$24-$I174 =9, (7-(Z$24-3-$I174))/6*1/3, TRUE, 0)) *
IF(ISNUMBER(SEARCH("Ordinance",$L174)),7/6,1) *
IF(OR(ISNUMBER(SEARCH("Melee",$L174)),ISNUMBER(SEARCH("Bypass",$L174))),1.5,1)</f>
        <v>0.1388888888888889</v>
      </c>
      <c r="AA174" s="17" cm="1">
        <f t="array" ref="AA174">$H174 *
IF(ISNUMBER(SEARCH("Rapid",$L174)),7/6,1) *
IF(OR(ISNUMBER(SEARCH("Beam",$L174)),ISNUMBER(SEARCH("Firestorm",$L174))),1, IF(ISNUMBER(SEARCH("Blast",$L174)),(4+$F174+(2-$F174)*0.5)/6*2,(4+$F174)/6)) *
IF(ISNUMBER(SEARCH("Fusion",$L174)), _xlfn.IFS(AA$24-$I174 &lt;=1, 9/10, AA$24-$I174 &lt;=10,(11-(AA$24-$I174))/10, AA$24-$I174 &gt;=11, 0),
_xlfn.IFS(AA$24-$I174 &lt;=1, 5/6, AA$24-$I174 &lt;=5, (7-(AA$24-$I174))/6, AND(AA$24-$I174 =6,NOT(_xlfn.IFNA(ISNUMBER(SEARCH("Rending",$L174)),FALSE))), (7-(AA$24-$I174))/6, AND(AA$24-$I174 &gt;=7,NOT(_xlfn.IFNA(ISNUMBER(SEARCH("Rending",$L174)),FALSE))), 0, AA$24-$I174 =7, (7-(AA$24-1-$I174))/6, AA$24-$I174 =8, (7-(AA$24-2-$I174))/6*2/3, AA$24-$I174 =9, (7-(AA$24-3-$I174))/6*1/3, TRUE, 0)) *
IF(ISNUMBER(SEARCH("Ordinance",$L174)),7/6,1) *
IF(OR(ISNUMBER(SEARCH("Melee",$L174)),ISNUMBER(SEARCH("Bypass",$L174))),1.5,1)</f>
        <v>0</v>
      </c>
      <c r="AB174" s="17" cm="1">
        <f t="array" ref="AB174">$H174 *
IF(ISNUMBER(SEARCH("Rapid",$L174)),7/6,1) *
IF(OR(ISNUMBER(SEARCH("Beam",$L174)),ISNUMBER(SEARCH("Firestorm",$L174))),1, IF(ISNUMBER(SEARCH("Blast",$L174)),(4+$F174+(2-$F174)*0.5)/6*2,(4+$F174)/6)) *
IF(ISNUMBER(SEARCH("Fusion",$L174)), _xlfn.IFS(AB$24-$I174 &lt;=1, 9/10, AB$24-$I174 &lt;=10,(11-(AB$24-$I174))/10, AB$24-$I174 &gt;=11, 0),
_xlfn.IFS(AB$24-$I174 &lt;=1, 5/6, AB$24-$I174 &lt;=5, (7-(AB$24-$I174))/6, AND(AB$24-$I174 =6,NOT(_xlfn.IFNA(ISNUMBER(SEARCH("Rending",$L174)),FALSE))), (7-(AB$24-$I174))/6, AND(AB$24-$I174 &gt;=7,NOT(_xlfn.IFNA(ISNUMBER(SEARCH("Rending",$L174)),FALSE))), 0, AB$24-$I174 =7, (7-(AB$24-1-$I174))/6, AB$24-$I174 =8, (7-(AB$24-2-$I174))/6*2/3, AB$24-$I174 =9, (7-(AB$24-3-$I174))/6*1/3, TRUE, 0)) *
IF(ISNUMBER(SEARCH("Ordinance",$L174)),7/6,1) *
IF(OR(ISNUMBER(SEARCH("Melee",$L174)),ISNUMBER(SEARCH("Bypass",$L174))),1.5,1)</f>
        <v>0</v>
      </c>
      <c r="AC174" s="17" cm="1">
        <f t="array" ref="AC174">$H174 *
IF(ISNUMBER(SEARCH("Rapid",$L174)),7/6,1) *
IF(OR(ISNUMBER(SEARCH("Beam",$L174)),ISNUMBER(SEARCH("Firestorm",$L174))),1, IF(ISNUMBER(SEARCH("Blast",$L174)),(4+$F174+(2-$F174)*0.5)/6*2,(4+$F174)/6)) *
IF(ISNUMBER(SEARCH("Fusion",$L174)), _xlfn.IFS(AC$24-$I174 &lt;=1, 9/10, AC$24-$I174 &lt;=10,(11-(AC$24-$I174))/10, AC$24-$I174 &gt;=11, 0),
_xlfn.IFS(AC$24-$I174 &lt;=1, 5/6, AC$24-$I174 &lt;=5, (7-(AC$24-$I174))/6, AND(AC$24-$I174 =6,NOT(_xlfn.IFNA(ISNUMBER(SEARCH("Rending",$L174)),FALSE))), (7-(AC$24-$I174))/6, AND(AC$24-$I174 &gt;=7,NOT(_xlfn.IFNA(ISNUMBER(SEARCH("Rending",$L174)),FALSE))), 0, AC$24-$I174 =7, (7-(AC$24-1-$I174))/6, AC$24-$I174 =8, (7-(AC$24-2-$I174))/6*2/3, AC$24-$I174 =9, (7-(AC$24-3-$I174))/6*1/3, TRUE, 0)) *
IF(ISNUMBER(SEARCH("Ordinance",$L174)),7/6,1) *
IF(OR(ISNUMBER(SEARCH("Melee",$L174)),ISNUMBER(SEARCH("Bypass",$L174))),1.5,1)</f>
        <v>0</v>
      </c>
      <c r="AD174" s="17" cm="1">
        <f t="array" ref="AD174">$H174 *
IF(ISNUMBER(SEARCH("Rapid",$L174)),7/6,1) *
IF(OR(ISNUMBER(SEARCH("Beam",$L174)),ISNUMBER(SEARCH("Firestorm",$L174))),1, IF(ISNUMBER(SEARCH("Blast",$L174)),(4+$F174+(2-$F174)*0.5)/6*2,(4+$F174)/6)) *
IF(ISNUMBER(SEARCH("Fusion",$L174)), _xlfn.IFS(AD$24-$I174 &lt;=1, 9/10, AD$24-$I174 &lt;=10,(11-(AD$24-$I174))/10, AD$24-$I174 &gt;=11, 0),
_xlfn.IFS(AD$24-$I174 &lt;=1, 5/6, AD$24-$I174 &lt;=5, (7-(AD$24-$I174))/6, AND(AD$24-$I174 =6,NOT(_xlfn.IFNA(ISNUMBER(SEARCH("Rending",$L174)),FALSE))), (7-(AD$24-$I174))/6, AND(AD$24-$I174 &gt;=7,NOT(_xlfn.IFNA(ISNUMBER(SEARCH("Rending",$L174)),FALSE))), 0, AD$24-$I174 =7, (7-(AD$24-1-$I174))/6, AD$24-$I174 =8, (7-(AD$24-2-$I174))/6*2/3, AD$24-$I174 =9, (7-(AD$24-3-$I174))/6*1/3, TRUE, 0)) *
IF(ISNUMBER(SEARCH("Ordinance",$L174)),7/6,1) *
IF(OR(ISNUMBER(SEARCH("Melee",$L174)),ISNUMBER(SEARCH("Bypass",$L174))),1.5,1)</f>
        <v>0</v>
      </c>
      <c r="AE174" s="17" cm="1">
        <f t="array" ref="AE174">$H174 *
IF(ISNUMBER(SEARCH("Rapid",$L174)),7/6,1) *
IF(OR(ISNUMBER(SEARCH("Beam",$L174)),ISNUMBER(SEARCH("Firestorm",$L174))),1, IF(ISNUMBER(SEARCH("Blast",$L174)),(4+$F174+(2-$F174)*0.5)/6*2,(4+$F174)/6)) *
IF(ISNUMBER(SEARCH("Fusion",$L174)), _xlfn.IFS(AE$24-$I174 &lt;=1, 9/10, AE$24-$I174 &lt;=10,(11-(AE$24-$I174))/10, AE$24-$I174 &gt;=11, 0),
_xlfn.IFS(AE$24-$I174 &lt;=1, 5/6, AE$24-$I174 &lt;=5, (7-(AE$24-$I174))/6, AND(AE$24-$I174 =6,NOT(_xlfn.IFNA(ISNUMBER(SEARCH("Rending",$L174)),FALSE))), (7-(AE$24-$I174))/6, AND(AE$24-$I174 &gt;=7,NOT(_xlfn.IFNA(ISNUMBER(SEARCH("Rending",$L174)),FALSE))), 0, AE$24-$I174 =7, (7-(AE$24-1-$I174))/6, AE$24-$I174 =8, (7-(AE$24-2-$I174))/6*2/3, AE$24-$I174 =9, (7-(AE$24-3-$I174))/6*1/3, TRUE, 0)) *
IF(ISNUMBER(SEARCH("Ordinance",$L174)),7/6,1) *
IF(OR(ISNUMBER(SEARCH("Melee",$L174)),ISNUMBER(SEARCH("Bypass",$L174))),1.5,1)</f>
        <v>0</v>
      </c>
      <c r="AF174" s="17" cm="1">
        <f t="array" ref="AF174">$H174 *
IF(ISNUMBER(SEARCH("Rapid",$L174)),7/6,1) *
IF(OR(ISNUMBER(SEARCH("Beam",$L174)),ISNUMBER(SEARCH("Firestorm",$L174))),1, IF(ISNUMBER(SEARCH("Blast",$L174)),(4+$F174+(2-$F174)*0.5)/6*2,(4+$F174)/6)) *
IF(ISNUMBER(SEARCH("Fusion",$L174)), _xlfn.IFS(AF$24-$I174 &lt;=1, 9/10, AF$24-$I174 &lt;=10,(11-(AF$24-$I174))/10, AF$24-$I174 &gt;=11, 0),
_xlfn.IFS(AF$24-$I174 &lt;=1, 5/6, AF$24-$I174 &lt;=5, (7-(AF$24-$I174))/6, AND(AF$24-$I174 =6,NOT(_xlfn.IFNA(ISNUMBER(SEARCH("Rending",$L174)),FALSE))), (7-(AF$24-$I174))/6, AND(AF$24-$I174 &gt;=7,NOT(_xlfn.IFNA(ISNUMBER(SEARCH("Rending",$L174)),FALSE))), 0, AF$24-$I174 =7, (7-(AF$24-1-$I174))/6, AF$24-$I174 =8, (7-(AF$24-2-$I174))/6*2/3, AF$24-$I174 =9, (7-(AF$24-3-$I174))/6*1/3, TRUE, 0)) *
IF(ISNUMBER(SEARCH("Ordinance",$L174)),7/6,1) *
IF(OR(ISNUMBER(SEARCH("Melee",$L174)),ISNUMBER(SEARCH("Bypass",$L174))),1.5,1)</f>
        <v>0</v>
      </c>
      <c r="AG174" s="16">
        <f t="shared" si="35"/>
        <v>0.22222222222222221</v>
      </c>
      <c r="AH174" s="16">
        <f t="shared" si="36"/>
        <v>0.33333333333333331</v>
      </c>
      <c r="AI174" s="17" cm="1">
        <f t="array" ref="AI174">$H174 *
IF(ISNUMBER(SEARCH("Rapid",$L174)),7/6,1) *
IF(OR(ISNUMBER(SEARCH("Beam",$L174)),ISNUMBER(SEARCH("Firestorm",$L174))),1, IF(ISNUMBER(SEARCH("Blast",$L174)),(4+$G174+(2-$G174)*0.5)/6*2,(4+$G174)/6)) *
_xlfn.IFS(AI$24-$I174 &lt;=1, 5/6, AI$24-$I174 &lt;=5, (7-(AI$24-$I174))/6, AND(AI$24-$I174 =6,NOT(_xlfn.IFNA(ISNUMBER(SEARCH("Rending",$L174)),FALSE))), (7-(AI$24-$I174))/6, AND(AI$24-$I174 &gt;=7,NOT(_xlfn.IFNA(ISNUMBER(SEARCH("Rending",$L174)),FALSE))), 0, AI$24-$I174 =7, (7-(AI$24-1-$I174))/6, AI$24-$I174 =8, (7-(AI$24-2-$I174))/6*2/3, AI$24-$I174 =9, (7-(AI$24-3-$I174))/6*1/3, TRUE, 0) *
IF(ISNUMBER(SEARCH("Ordinance",$L174)),7/6,1) *
IF(OR(ISNUMBER(SEARCH("Melee",$L174)),ISNUMBER(SEARCH("Bypass",$L174))),1.5,1)</f>
        <v>0.33333333333333331</v>
      </c>
      <c r="AJ174" s="17" cm="1">
        <f t="array" ref="AJ174">$H174 *
IF(ISNUMBER(SEARCH("Rapid",$L174)),7/6,1) *
IF(OR(ISNUMBER(SEARCH("Beam",$L174)),ISNUMBER(SEARCH("Firestorm",$L174))),1, IF(ISNUMBER(SEARCH("Blast",$L174)),(4+$G174+(2-$G174)*0.5)/6*2,(4+$G174)/6)) *
_xlfn.IFS(AJ$24-$I174 &lt;=1, 5/6, AJ$24-$I174 &lt;=5, (7-(AJ$24-$I174))/6, AND(AJ$24-$I174 =6,NOT(_xlfn.IFNA(ISNUMBER(SEARCH("Rending",$L174)),FALSE))), (7-(AJ$24-$I174))/6, AND(AJ$24-$I174 &gt;=7,NOT(_xlfn.IFNA(ISNUMBER(SEARCH("Rending",$L174)),FALSE))), 0, AJ$24-$I174 =7, (7-(AJ$24-1-$I174))/6, AJ$24-$I174 =8, (7-(AJ$24-2-$I174))/6*2/3, AJ$24-$I174 =9, (7-(AJ$24-3-$I174))/6*1/3, TRUE, 0) *
IF(ISNUMBER(SEARCH("Ordinance",$L174)),7/6,1) *
IF(OR(ISNUMBER(SEARCH("Melee",$L174)),ISNUMBER(SEARCH("Bypass",$L174))),1.5,1)</f>
        <v>0.22222222222222221</v>
      </c>
      <c r="AK174" s="17" cm="1">
        <f t="array" ref="AK174">$H174 *
IF(ISNUMBER(SEARCH("Rapid",$L174)),7/6,1) *
IF(OR(ISNUMBER(SEARCH("Beam",$L174)),ISNUMBER(SEARCH("Firestorm",$L174))),1, IF(ISNUMBER(SEARCH("Blast",$L174)),(4+$G174+(2-$G174)*0.5)/6*2,(4+$G174)/6)) *
_xlfn.IFS(AK$24-$I174 &lt;=1, 5/6, AK$24-$I174 &lt;=5, (7-(AK$24-$I174))/6, AND(AK$24-$I174 =6,NOT(_xlfn.IFNA(ISNUMBER(SEARCH("Rending",$L174)),FALSE))), (7-(AK$24-$I174))/6, AND(AK$24-$I174 &gt;=7,NOT(_xlfn.IFNA(ISNUMBER(SEARCH("Rending",$L174)),FALSE))), 0, AK$24-$I174 =7, (7-(AK$24-1-$I174))/6, AK$24-$I174 =8, (7-(AK$24-2-$I174))/6*2/3, AK$24-$I174 =9, (7-(AK$24-3-$I174))/6*1/3, TRUE, 0) *
IF(ISNUMBER(SEARCH("Ordinance",$L174)),7/6,1) *
IF(OR(ISNUMBER(SEARCH("Melee",$L174)),ISNUMBER(SEARCH("Bypass",$L174))),1.5,1)</f>
        <v>0.1111111111111111</v>
      </c>
      <c r="AL174" s="17" cm="1">
        <f t="array" ref="AL174">$H174 *
IF(ISNUMBER(SEARCH("Rapid",$L174)),7/6,1) *
IF(OR(ISNUMBER(SEARCH("Beam",$L174)),ISNUMBER(SEARCH("Firestorm",$L174))),1, IF(ISNUMBER(SEARCH("Blast",$L174)),(4+$G174+(2-$G174)*0.5)/6*2,(4+$G174)/6)) *
_xlfn.IFS(AL$24-$I174 &lt;=1, 5/6, AL$24-$I174 &lt;=5, (7-(AL$24-$I174))/6, AND(AL$24-$I174 =6,NOT(_xlfn.IFNA(ISNUMBER(SEARCH("Rending",$L174)),FALSE))), (7-(AL$24-$I174))/6, AND(AL$24-$I174 &gt;=7,NOT(_xlfn.IFNA(ISNUMBER(SEARCH("Rending",$L174)),FALSE))), 0, AL$24-$I174 =7, (7-(AL$24-1-$I174))/6, AL$24-$I174 =8, (7-(AL$24-2-$I174))/6*2/3, AL$24-$I174 =9, (7-(AL$24-3-$I174))/6*1/3, TRUE, 0) *
IF(ISNUMBER(SEARCH("Ordinance",$L174)),7/6,1) *
IF(OR(ISNUMBER(SEARCH("Melee",$L174)),ISNUMBER(SEARCH("Bypass",$L174))),1.5,1)</f>
        <v>0</v>
      </c>
      <c r="AM174" s="17" cm="1">
        <f t="array" ref="AM174">$H174 *
IF(ISNUMBER(SEARCH("Rapid",$L174)),7/6,1) *
IF(OR(ISNUMBER(SEARCH("Beam",$L174)),ISNUMBER(SEARCH("Firestorm",$L174))),1, IF(ISNUMBER(SEARCH("Blast",$L174)),(4+$G174+(2-$G174)*0.5)/6*2,(4+$G174)/6)) *
_xlfn.IFS(AM$24-$I174 &lt;=1, 5/6, AM$24-$I174 &lt;=5, (7-(AM$24-$I174))/6, AND(AM$24-$I174 =6,NOT(_xlfn.IFNA(ISNUMBER(SEARCH("Rending",$L174)),FALSE))), (7-(AM$24-$I174))/6, AND(AM$24-$I174 &gt;=7,NOT(_xlfn.IFNA(ISNUMBER(SEARCH("Rending",$L174)),FALSE))), 0, AM$24-$I174 =7, (7-(AM$24-1-$I174))/6, AM$24-$I174 =8, (7-(AM$24-2-$I174))/6*2/3, AM$24-$I174 =9, (7-(AM$24-3-$I174))/6*1/3, TRUE, 0) *
IF(ISNUMBER(SEARCH("Ordinance",$L174)),7/6,1) *
IF(OR(ISNUMBER(SEARCH("Melee",$L174)),ISNUMBER(SEARCH("Bypass",$L174))),1.5,1)</f>
        <v>0</v>
      </c>
      <c r="AN174" s="17" cm="1">
        <f t="array" ref="AN174">$H174 *
IF(ISNUMBER(SEARCH("Rapid",$L174)),7/6,1) *
IF(OR(ISNUMBER(SEARCH("Beam",$L174)),ISNUMBER(SEARCH("Firestorm",$L174))),1, IF(ISNUMBER(SEARCH("Blast",$L174)),(4+$G174+(2-$G174)*0.5)/6*2,(4+$G174)/6)) *
_xlfn.IFS(AN$24-$I174 &lt;=1, 5/6, AN$24-$I174 &lt;=5, (7-(AN$24-$I174))/6, AND(AN$24-$I174 =6,NOT(_xlfn.IFNA(ISNUMBER(SEARCH("Rending",$L174)),FALSE))), (7-(AN$24-$I174))/6, AND(AN$24-$I174 &gt;=7,NOT(_xlfn.IFNA(ISNUMBER(SEARCH("Rending",$L174)),FALSE))), 0, AN$24-$I174 =7, (7-(AN$24-1-$I174))/6, AN$24-$I174 =8, (7-(AN$24-2-$I174))/6*2/3, AN$24-$I174 =9, (7-(AN$24-3-$I174))/6*1/3, TRUE, 0) *
IF(ISNUMBER(SEARCH("Ordinance",$L174)),7/6,1) *
IF(OR(ISNUMBER(SEARCH("Melee",$L174)),ISNUMBER(SEARCH("Bypass",$L174))),1.5,1)</f>
        <v>0</v>
      </c>
      <c r="AO174" s="17" cm="1">
        <f t="array" ref="AO174">$H174 *
IF(ISNUMBER(SEARCH("Rapid",$L174)),7/6,1) *
IF(OR(ISNUMBER(SEARCH("Beam",$L174)),ISNUMBER(SEARCH("Firestorm",$L174))),1, IF(ISNUMBER(SEARCH("Blast",$L174)),(4+$G174+(2-$G174)*0.5)/6*2,(4+$G174)/6)) *
_xlfn.IFS(AO$24-$I174 &lt;=1, 5/6, AO$24-$I174 &lt;=5, (7-(AO$24-$I174))/6, AND(AO$24-$I174 =6,NOT(_xlfn.IFNA(ISNUMBER(SEARCH("Rending",$L174)),FALSE))), (7-(AO$24-$I174))/6, AND(AO$24-$I174 &gt;=7,NOT(_xlfn.IFNA(ISNUMBER(SEARCH("Rending",$L174)),FALSE))), 0, AO$24-$I174 =7, (7-(AO$24-1-$I174))/6, AO$24-$I174 =8, (7-(AO$24-2-$I174))/6*2/3, AO$24-$I174 =9, (7-(AO$24-3-$I174))/6*1/3, TRUE, 0) *
IF(ISNUMBER(SEARCH("Ordinance",$L174)),7/6,1) *
IF(OR(ISNUMBER(SEARCH("Melee",$L174)),ISNUMBER(SEARCH("Bypass",$L174))),1.5,1)</f>
        <v>0</v>
      </c>
      <c r="AP174" s="17" cm="1">
        <f t="array" ref="AP174">$H174 *
IF(ISNUMBER(SEARCH("Rapid",$L174)),7/6,1) *
IF(OR(ISNUMBER(SEARCH("Beam",$L174)),ISNUMBER(SEARCH("Firestorm",$L174))),1, IF(ISNUMBER(SEARCH("Blast",$L174)),(4+$G174+(2-$G174)*0.5)/6*2,(4+$G174)/6)) *
_xlfn.IFS(AP$24-$I174 &lt;=1, 5/6, AP$24-$I174 &lt;=5, (7-(AP$24-$I174))/6, AND(AP$24-$I174 =6,NOT(_xlfn.IFNA(ISNUMBER(SEARCH("Rending",$L174)),FALSE))), (7-(AP$24-$I174))/6, AND(AP$24-$I174 &gt;=7,NOT(_xlfn.IFNA(ISNUMBER(SEARCH("Rending",$L174)),FALSE))), 0, AP$24-$I174 =7, (7-(AP$24-1-$I174))/6, AP$24-$I174 =8, (7-(AP$24-2-$I174))/6*2/3, AP$24-$I174 =9, (7-(AP$24-3-$I174))/6*1/3, TRUE, 0) *
IF(ISNUMBER(SEARCH("Ordinance",$L174)),7/6,1) *
IF(OR(ISNUMBER(SEARCH("Melee",$L174)),ISNUMBER(SEARCH("Bypass",$L174))),1.5,1)</f>
        <v>0</v>
      </c>
      <c r="AQ174" s="17" cm="1">
        <f t="array" ref="AQ174">$H174 *
IF(ISNUMBER(SEARCH("Rapid",$L174)),7/6,1) *
IF(OR(ISNUMBER(SEARCH("Beam",$L174)),ISNUMBER(SEARCH("Firestorm",$L174))),1, IF(ISNUMBER(SEARCH("Blast",$L174)),(4+$G174+(2-$G174)*0.5)/6*2,(4+$G174)/6)) *
_xlfn.IFS(AQ$24-$I174 &lt;=1, 5/6, AQ$24-$I174 &lt;=5, (7-(AQ$24-$I174))/6, AND(AQ$24-$I174 =6,NOT(_xlfn.IFNA(ISNUMBER(SEARCH("Rending",$L174)),FALSE))), (7-(AQ$24-$I174))/6, AND(AQ$24-$I174 &gt;=7,NOT(_xlfn.IFNA(ISNUMBER(SEARCH("Rending",$L174)),FALSE))), 0, AQ$24-$I174 =7, (7-(AQ$24-1-$I174))/6, AQ$24-$I174 =8, (7-(AQ$24-2-$I174))/6*2/3, AQ$24-$I174 =9, (7-(AQ$24-3-$I174))/6*1/3, TRUE, 0) *
IF(ISNUMBER(SEARCH("Ordinance",$L174)),7/6,1) *
IF(OR(ISNUMBER(SEARCH("Melee",$L174)),ISNUMBER(SEARCH("Bypass",$L174))),1.5,1)</f>
        <v>0</v>
      </c>
      <c r="AS174" s="16">
        <f t="shared" si="41"/>
        <v>0.22222222222222221</v>
      </c>
      <c r="AT174" s="16">
        <f t="shared" si="42"/>
        <v>0.33333333333333331</v>
      </c>
      <c r="AU174" s="16">
        <f t="shared" si="43"/>
        <v>0.19166666666666665</v>
      </c>
      <c r="AV174" s="2">
        <v>10</v>
      </c>
    </row>
    <row r="175" spans="1:48" x14ac:dyDescent="0.3">
      <c r="A175" t="s">
        <v>615</v>
      </c>
      <c r="B175" s="3">
        <v>8</v>
      </c>
      <c r="C175" s="3">
        <v>20</v>
      </c>
      <c r="D175" s="3">
        <v>1</v>
      </c>
      <c r="E175" s="3">
        <v>1</v>
      </c>
      <c r="F175" s="10">
        <v>1</v>
      </c>
      <c r="G175" s="10"/>
      <c r="H175" s="3">
        <v>7</v>
      </c>
      <c r="I175" s="3">
        <v>3</v>
      </c>
      <c r="K175" s="3">
        <v>10</v>
      </c>
      <c r="L175" s="3" t="s">
        <v>480</v>
      </c>
      <c r="M175" s="3" t="s">
        <v>225</v>
      </c>
      <c r="V175" s="16">
        <f t="shared" si="33"/>
        <v>2.268518518518519</v>
      </c>
      <c r="W175" s="16">
        <f t="shared" si="34"/>
        <v>3.4027777777777786</v>
      </c>
      <c r="X175" s="17" cm="1">
        <f t="array" ref="X175">$H175 *
IF(ISNUMBER(SEARCH("Rapid",$L175)),7/6,1) *
IF(OR(ISNUMBER(SEARCH("Beam",$L175)),ISNUMBER(SEARCH("Firestorm",$L175))),1, IF(ISNUMBER(SEARCH("Blast",$L175)),(4+$F175+(2-$F175)*0.5)/6*2,(4+$F175)/6)) *
IF(ISNUMBER(SEARCH("Fusion",$L175)), _xlfn.IFS(X$24-$I175 &lt;=1, 9/10, X$24-$I175 &lt;=10,(11-(X$24-$I175))/10, X$24-$I175 &gt;=11, 0),
_xlfn.IFS(X$24-$I175 &lt;=1, 5/6, X$24-$I175 &lt;=5, (7-(X$24-$I175))/6, AND(X$24-$I175 =6,NOT(_xlfn.IFNA(ISNUMBER(SEARCH("Rending",$L175)),FALSE))), (7-(X$24-$I175))/6, AND(X$24-$I175 &gt;=7,NOT(_xlfn.IFNA(ISNUMBER(SEARCH("Rending",$L175)),FALSE))), 0, X$24-$I175 =7, (7-(X$24-1-$I175))/6, X$24-$I175 =8, (7-(X$24-2-$I175))/6*2/3, X$24-$I175 =9, (7-(X$24-3-$I175))/6*1/3, TRUE, 0)) *
IF(ISNUMBER(SEARCH("Ordinance",$L175)),7/6,1) *
IF(OR(ISNUMBER(SEARCH("Melee",$L175)),ISNUMBER(SEARCH("Bypass",$L175))),1.5,1)</f>
        <v>1.1342592592592595</v>
      </c>
      <c r="Y175" s="17" cm="1">
        <f t="array" ref="Y175">$H175 *
IF(ISNUMBER(SEARCH("Rapid",$L175)),7/6,1) *
IF(OR(ISNUMBER(SEARCH("Beam",$L175)),ISNUMBER(SEARCH("Firestorm",$L175))),1, IF(ISNUMBER(SEARCH("Blast",$L175)),(4+$F175+(2-$F175)*0.5)/6*2,(4+$F175)/6)) *
IF(ISNUMBER(SEARCH("Fusion",$L175)), _xlfn.IFS(Y$24-$I175 &lt;=1, 9/10, Y$24-$I175 &lt;=10,(11-(Y$24-$I175))/10, Y$24-$I175 &gt;=11, 0),
_xlfn.IFS(Y$24-$I175 &lt;=1, 5/6, Y$24-$I175 &lt;=5, (7-(Y$24-$I175))/6, AND(Y$24-$I175 =6,NOT(_xlfn.IFNA(ISNUMBER(SEARCH("Rending",$L175)),FALSE))), (7-(Y$24-$I175))/6, AND(Y$24-$I175 &gt;=7,NOT(_xlfn.IFNA(ISNUMBER(SEARCH("Rending",$L175)),FALSE))), 0, Y$24-$I175 =7, (7-(Y$24-1-$I175))/6, Y$24-$I175 =8, (7-(Y$24-2-$I175))/6*2/3, Y$24-$I175 =9, (7-(Y$24-3-$I175))/6*1/3, TRUE, 0)) *
IF(ISNUMBER(SEARCH("Ordinance",$L175)),7/6,1) *
IF(OR(ISNUMBER(SEARCH("Melee",$L175)),ISNUMBER(SEARCH("Bypass",$L175))),1.5,1)</f>
        <v>0</v>
      </c>
      <c r="Z175" s="17" cm="1">
        <f t="array" ref="Z175">$H175 *
IF(ISNUMBER(SEARCH("Rapid",$L175)),7/6,1) *
IF(OR(ISNUMBER(SEARCH("Beam",$L175)),ISNUMBER(SEARCH("Firestorm",$L175))),1, IF(ISNUMBER(SEARCH("Blast",$L175)),(4+$F175+(2-$F175)*0.5)/6*2,(4+$F175)/6)) *
IF(ISNUMBER(SEARCH("Fusion",$L175)), _xlfn.IFS(Z$24-$I175 &lt;=1, 9/10, Z$24-$I175 &lt;=10,(11-(Z$24-$I175))/10, Z$24-$I175 &gt;=11, 0),
_xlfn.IFS(Z$24-$I175 &lt;=1, 5/6, Z$24-$I175 &lt;=5, (7-(Z$24-$I175))/6, AND(Z$24-$I175 =6,NOT(_xlfn.IFNA(ISNUMBER(SEARCH("Rending",$L175)),FALSE))), (7-(Z$24-$I175))/6, AND(Z$24-$I175 &gt;=7,NOT(_xlfn.IFNA(ISNUMBER(SEARCH("Rending",$L175)),FALSE))), 0, Z$24-$I175 =7, (7-(Z$24-1-$I175))/6, Z$24-$I175 =8, (7-(Z$24-2-$I175))/6*2/3, Z$24-$I175 =9, (7-(Z$24-3-$I175))/6*1/3, TRUE, 0)) *
IF(ISNUMBER(SEARCH("Ordinance",$L175)),7/6,1) *
IF(OR(ISNUMBER(SEARCH("Melee",$L175)),ISNUMBER(SEARCH("Bypass",$L175))),1.5,1)</f>
        <v>0</v>
      </c>
      <c r="AA175" s="17" cm="1">
        <f t="array" ref="AA175">$H175 *
IF(ISNUMBER(SEARCH("Rapid",$L175)),7/6,1) *
IF(OR(ISNUMBER(SEARCH("Beam",$L175)),ISNUMBER(SEARCH("Firestorm",$L175))),1, IF(ISNUMBER(SEARCH("Blast",$L175)),(4+$F175+(2-$F175)*0.5)/6*2,(4+$F175)/6)) *
IF(ISNUMBER(SEARCH("Fusion",$L175)), _xlfn.IFS(AA$24-$I175 &lt;=1, 9/10, AA$24-$I175 &lt;=10,(11-(AA$24-$I175))/10, AA$24-$I175 &gt;=11, 0),
_xlfn.IFS(AA$24-$I175 &lt;=1, 5/6, AA$24-$I175 &lt;=5, (7-(AA$24-$I175))/6, AND(AA$24-$I175 =6,NOT(_xlfn.IFNA(ISNUMBER(SEARCH("Rending",$L175)),FALSE))), (7-(AA$24-$I175))/6, AND(AA$24-$I175 &gt;=7,NOT(_xlfn.IFNA(ISNUMBER(SEARCH("Rending",$L175)),FALSE))), 0, AA$24-$I175 =7, (7-(AA$24-1-$I175))/6, AA$24-$I175 =8, (7-(AA$24-2-$I175))/6*2/3, AA$24-$I175 =9, (7-(AA$24-3-$I175))/6*1/3, TRUE, 0)) *
IF(ISNUMBER(SEARCH("Ordinance",$L175)),7/6,1) *
IF(OR(ISNUMBER(SEARCH("Melee",$L175)),ISNUMBER(SEARCH("Bypass",$L175))),1.5,1)</f>
        <v>0</v>
      </c>
      <c r="AB175" s="17" cm="1">
        <f t="array" ref="AB175">$H175 *
IF(ISNUMBER(SEARCH("Rapid",$L175)),7/6,1) *
IF(OR(ISNUMBER(SEARCH("Beam",$L175)),ISNUMBER(SEARCH("Firestorm",$L175))),1, IF(ISNUMBER(SEARCH("Blast",$L175)),(4+$F175+(2-$F175)*0.5)/6*2,(4+$F175)/6)) *
IF(ISNUMBER(SEARCH("Fusion",$L175)), _xlfn.IFS(AB$24-$I175 &lt;=1, 9/10, AB$24-$I175 &lt;=10,(11-(AB$24-$I175))/10, AB$24-$I175 &gt;=11, 0),
_xlfn.IFS(AB$24-$I175 &lt;=1, 5/6, AB$24-$I175 &lt;=5, (7-(AB$24-$I175))/6, AND(AB$24-$I175 =6,NOT(_xlfn.IFNA(ISNUMBER(SEARCH("Rending",$L175)),FALSE))), (7-(AB$24-$I175))/6, AND(AB$24-$I175 &gt;=7,NOT(_xlfn.IFNA(ISNUMBER(SEARCH("Rending",$L175)),FALSE))), 0, AB$24-$I175 =7, (7-(AB$24-1-$I175))/6, AB$24-$I175 =8, (7-(AB$24-2-$I175))/6*2/3, AB$24-$I175 =9, (7-(AB$24-3-$I175))/6*1/3, TRUE, 0)) *
IF(ISNUMBER(SEARCH("Ordinance",$L175)),7/6,1) *
IF(OR(ISNUMBER(SEARCH("Melee",$L175)),ISNUMBER(SEARCH("Bypass",$L175))),1.5,1)</f>
        <v>0</v>
      </c>
      <c r="AC175" s="17" cm="1">
        <f t="array" ref="AC175">$H175 *
IF(ISNUMBER(SEARCH("Rapid",$L175)),7/6,1) *
IF(OR(ISNUMBER(SEARCH("Beam",$L175)),ISNUMBER(SEARCH("Firestorm",$L175))),1, IF(ISNUMBER(SEARCH("Blast",$L175)),(4+$F175+(2-$F175)*0.5)/6*2,(4+$F175)/6)) *
IF(ISNUMBER(SEARCH("Fusion",$L175)), _xlfn.IFS(AC$24-$I175 &lt;=1, 9/10, AC$24-$I175 &lt;=10,(11-(AC$24-$I175))/10, AC$24-$I175 &gt;=11, 0),
_xlfn.IFS(AC$24-$I175 &lt;=1, 5/6, AC$24-$I175 &lt;=5, (7-(AC$24-$I175))/6, AND(AC$24-$I175 =6,NOT(_xlfn.IFNA(ISNUMBER(SEARCH("Rending",$L175)),FALSE))), (7-(AC$24-$I175))/6, AND(AC$24-$I175 &gt;=7,NOT(_xlfn.IFNA(ISNUMBER(SEARCH("Rending",$L175)),FALSE))), 0, AC$24-$I175 =7, (7-(AC$24-1-$I175))/6, AC$24-$I175 =8, (7-(AC$24-2-$I175))/6*2/3, AC$24-$I175 =9, (7-(AC$24-3-$I175))/6*1/3, TRUE, 0)) *
IF(ISNUMBER(SEARCH("Ordinance",$L175)),7/6,1) *
IF(OR(ISNUMBER(SEARCH("Melee",$L175)),ISNUMBER(SEARCH("Bypass",$L175))),1.5,1)</f>
        <v>0</v>
      </c>
      <c r="AD175" s="17" cm="1">
        <f t="array" ref="AD175">$H175 *
IF(ISNUMBER(SEARCH("Rapid",$L175)),7/6,1) *
IF(OR(ISNUMBER(SEARCH("Beam",$L175)),ISNUMBER(SEARCH("Firestorm",$L175))),1, IF(ISNUMBER(SEARCH("Blast",$L175)),(4+$F175+(2-$F175)*0.5)/6*2,(4+$F175)/6)) *
IF(ISNUMBER(SEARCH("Fusion",$L175)), _xlfn.IFS(AD$24-$I175 &lt;=1, 9/10, AD$24-$I175 &lt;=10,(11-(AD$24-$I175))/10, AD$24-$I175 &gt;=11, 0),
_xlfn.IFS(AD$24-$I175 &lt;=1, 5/6, AD$24-$I175 &lt;=5, (7-(AD$24-$I175))/6, AND(AD$24-$I175 =6,NOT(_xlfn.IFNA(ISNUMBER(SEARCH("Rending",$L175)),FALSE))), (7-(AD$24-$I175))/6, AND(AD$24-$I175 &gt;=7,NOT(_xlfn.IFNA(ISNUMBER(SEARCH("Rending",$L175)),FALSE))), 0, AD$24-$I175 =7, (7-(AD$24-1-$I175))/6, AD$24-$I175 =8, (7-(AD$24-2-$I175))/6*2/3, AD$24-$I175 =9, (7-(AD$24-3-$I175))/6*1/3, TRUE, 0)) *
IF(ISNUMBER(SEARCH("Ordinance",$L175)),7/6,1) *
IF(OR(ISNUMBER(SEARCH("Melee",$L175)),ISNUMBER(SEARCH("Bypass",$L175))),1.5,1)</f>
        <v>0</v>
      </c>
      <c r="AE175" s="17" cm="1">
        <f t="array" ref="AE175">$H175 *
IF(ISNUMBER(SEARCH("Rapid",$L175)),7/6,1) *
IF(OR(ISNUMBER(SEARCH("Beam",$L175)),ISNUMBER(SEARCH("Firestorm",$L175))),1, IF(ISNUMBER(SEARCH("Blast",$L175)),(4+$F175+(2-$F175)*0.5)/6*2,(4+$F175)/6)) *
IF(ISNUMBER(SEARCH("Fusion",$L175)), _xlfn.IFS(AE$24-$I175 &lt;=1, 9/10, AE$24-$I175 &lt;=10,(11-(AE$24-$I175))/10, AE$24-$I175 &gt;=11, 0),
_xlfn.IFS(AE$24-$I175 &lt;=1, 5/6, AE$24-$I175 &lt;=5, (7-(AE$24-$I175))/6, AND(AE$24-$I175 =6,NOT(_xlfn.IFNA(ISNUMBER(SEARCH("Rending",$L175)),FALSE))), (7-(AE$24-$I175))/6, AND(AE$24-$I175 &gt;=7,NOT(_xlfn.IFNA(ISNUMBER(SEARCH("Rending",$L175)),FALSE))), 0, AE$24-$I175 =7, (7-(AE$24-1-$I175))/6, AE$24-$I175 =8, (7-(AE$24-2-$I175))/6*2/3, AE$24-$I175 =9, (7-(AE$24-3-$I175))/6*1/3, TRUE, 0)) *
IF(ISNUMBER(SEARCH("Ordinance",$L175)),7/6,1) *
IF(OR(ISNUMBER(SEARCH("Melee",$L175)),ISNUMBER(SEARCH("Bypass",$L175))),1.5,1)</f>
        <v>0</v>
      </c>
      <c r="AF175" s="17" cm="1">
        <f t="array" ref="AF175">$H175 *
IF(ISNUMBER(SEARCH("Rapid",$L175)),7/6,1) *
IF(OR(ISNUMBER(SEARCH("Beam",$L175)),ISNUMBER(SEARCH("Firestorm",$L175))),1, IF(ISNUMBER(SEARCH("Blast",$L175)),(4+$F175+(2-$F175)*0.5)/6*2,(4+$F175)/6)) *
IF(ISNUMBER(SEARCH("Fusion",$L175)), _xlfn.IFS(AF$24-$I175 &lt;=1, 9/10, AF$24-$I175 &lt;=10,(11-(AF$24-$I175))/10, AF$24-$I175 &gt;=11, 0),
_xlfn.IFS(AF$24-$I175 &lt;=1, 5/6, AF$24-$I175 &lt;=5, (7-(AF$24-$I175))/6, AND(AF$24-$I175 =6,NOT(_xlfn.IFNA(ISNUMBER(SEARCH("Rending",$L175)),FALSE))), (7-(AF$24-$I175))/6, AND(AF$24-$I175 &gt;=7,NOT(_xlfn.IFNA(ISNUMBER(SEARCH("Rending",$L175)),FALSE))), 0, AF$24-$I175 =7, (7-(AF$24-1-$I175))/6, AF$24-$I175 =8, (7-(AF$24-2-$I175))/6*2/3, AF$24-$I175 =9, (7-(AF$24-3-$I175))/6*1/3, TRUE, 0)) *
IF(ISNUMBER(SEARCH("Ordinance",$L175)),7/6,1) *
IF(OR(ISNUMBER(SEARCH("Melee",$L175)),ISNUMBER(SEARCH("Bypass",$L175))),1.5,1)</f>
        <v>0</v>
      </c>
      <c r="AG175" s="16">
        <f t="shared" si="35"/>
        <v>1.8148148148148149</v>
      </c>
      <c r="AH175" s="16">
        <f t="shared" si="36"/>
        <v>2.7222222222222223</v>
      </c>
      <c r="AI175" s="17" cm="1">
        <f t="array" ref="AI175">$H175 *
IF(ISNUMBER(SEARCH("Rapid",$L175)),7/6,1) *
IF(OR(ISNUMBER(SEARCH("Beam",$L175)),ISNUMBER(SEARCH("Firestorm",$L175))),1, IF(ISNUMBER(SEARCH("Blast",$L175)),(4+$G175+(2-$G175)*0.5)/6*2,(4+$G175)/6)) *
_xlfn.IFS(AI$24-$I175 &lt;=1, 5/6, AI$24-$I175 &lt;=5, (7-(AI$24-$I175))/6, AND(AI$24-$I175 =6,NOT(_xlfn.IFNA(ISNUMBER(SEARCH("Rending",$L175)),FALSE))), (7-(AI$24-$I175))/6, AND(AI$24-$I175 &gt;=7,NOT(_xlfn.IFNA(ISNUMBER(SEARCH("Rending",$L175)),FALSE))), 0, AI$24-$I175 =7, (7-(AI$24-1-$I175))/6, AI$24-$I175 =8, (7-(AI$24-2-$I175))/6*2/3, AI$24-$I175 =9, (7-(AI$24-3-$I175))/6*1/3, TRUE, 0) *
IF(ISNUMBER(SEARCH("Ordinance",$L175)),7/6,1) *
IF(OR(ISNUMBER(SEARCH("Melee",$L175)),ISNUMBER(SEARCH("Bypass",$L175))),1.5,1)</f>
        <v>0.90740740740740744</v>
      </c>
      <c r="AJ175" s="17" cm="1">
        <f t="array" ref="AJ175">$H175 *
IF(ISNUMBER(SEARCH("Rapid",$L175)),7/6,1) *
IF(OR(ISNUMBER(SEARCH("Beam",$L175)),ISNUMBER(SEARCH("Firestorm",$L175))),1, IF(ISNUMBER(SEARCH("Blast",$L175)),(4+$G175+(2-$G175)*0.5)/6*2,(4+$G175)/6)) *
_xlfn.IFS(AJ$24-$I175 &lt;=1, 5/6, AJ$24-$I175 &lt;=5, (7-(AJ$24-$I175))/6, AND(AJ$24-$I175 =6,NOT(_xlfn.IFNA(ISNUMBER(SEARCH("Rending",$L175)),FALSE))), (7-(AJ$24-$I175))/6, AND(AJ$24-$I175 &gt;=7,NOT(_xlfn.IFNA(ISNUMBER(SEARCH("Rending",$L175)),FALSE))), 0, AJ$24-$I175 =7, (7-(AJ$24-1-$I175))/6, AJ$24-$I175 =8, (7-(AJ$24-2-$I175))/6*2/3, AJ$24-$I175 =9, (7-(AJ$24-3-$I175))/6*1/3, TRUE, 0) *
IF(ISNUMBER(SEARCH("Ordinance",$L175)),7/6,1) *
IF(OR(ISNUMBER(SEARCH("Melee",$L175)),ISNUMBER(SEARCH("Bypass",$L175))),1.5,1)</f>
        <v>0</v>
      </c>
      <c r="AK175" s="17" cm="1">
        <f t="array" ref="AK175">$H175 *
IF(ISNUMBER(SEARCH("Rapid",$L175)),7/6,1) *
IF(OR(ISNUMBER(SEARCH("Beam",$L175)),ISNUMBER(SEARCH("Firestorm",$L175))),1, IF(ISNUMBER(SEARCH("Blast",$L175)),(4+$G175+(2-$G175)*0.5)/6*2,(4+$G175)/6)) *
_xlfn.IFS(AK$24-$I175 &lt;=1, 5/6, AK$24-$I175 &lt;=5, (7-(AK$24-$I175))/6, AND(AK$24-$I175 =6,NOT(_xlfn.IFNA(ISNUMBER(SEARCH("Rending",$L175)),FALSE))), (7-(AK$24-$I175))/6, AND(AK$24-$I175 &gt;=7,NOT(_xlfn.IFNA(ISNUMBER(SEARCH("Rending",$L175)),FALSE))), 0, AK$24-$I175 =7, (7-(AK$24-1-$I175))/6, AK$24-$I175 =8, (7-(AK$24-2-$I175))/6*2/3, AK$24-$I175 =9, (7-(AK$24-3-$I175))/6*1/3, TRUE, 0) *
IF(ISNUMBER(SEARCH("Ordinance",$L175)),7/6,1) *
IF(OR(ISNUMBER(SEARCH("Melee",$L175)),ISNUMBER(SEARCH("Bypass",$L175))),1.5,1)</f>
        <v>0</v>
      </c>
      <c r="AL175" s="17" cm="1">
        <f t="array" ref="AL175">$H175 *
IF(ISNUMBER(SEARCH("Rapid",$L175)),7/6,1) *
IF(OR(ISNUMBER(SEARCH("Beam",$L175)),ISNUMBER(SEARCH("Firestorm",$L175))),1, IF(ISNUMBER(SEARCH("Blast",$L175)),(4+$G175+(2-$G175)*0.5)/6*2,(4+$G175)/6)) *
_xlfn.IFS(AL$24-$I175 &lt;=1, 5/6, AL$24-$I175 &lt;=5, (7-(AL$24-$I175))/6, AND(AL$24-$I175 =6,NOT(_xlfn.IFNA(ISNUMBER(SEARCH("Rending",$L175)),FALSE))), (7-(AL$24-$I175))/6, AND(AL$24-$I175 &gt;=7,NOT(_xlfn.IFNA(ISNUMBER(SEARCH("Rending",$L175)),FALSE))), 0, AL$24-$I175 =7, (7-(AL$24-1-$I175))/6, AL$24-$I175 =8, (7-(AL$24-2-$I175))/6*2/3, AL$24-$I175 =9, (7-(AL$24-3-$I175))/6*1/3, TRUE, 0) *
IF(ISNUMBER(SEARCH("Ordinance",$L175)),7/6,1) *
IF(OR(ISNUMBER(SEARCH("Melee",$L175)),ISNUMBER(SEARCH("Bypass",$L175))),1.5,1)</f>
        <v>0</v>
      </c>
      <c r="AM175" s="17" cm="1">
        <f t="array" ref="AM175">$H175 *
IF(ISNUMBER(SEARCH("Rapid",$L175)),7/6,1) *
IF(OR(ISNUMBER(SEARCH("Beam",$L175)),ISNUMBER(SEARCH("Firestorm",$L175))),1, IF(ISNUMBER(SEARCH("Blast",$L175)),(4+$G175+(2-$G175)*0.5)/6*2,(4+$G175)/6)) *
_xlfn.IFS(AM$24-$I175 &lt;=1, 5/6, AM$24-$I175 &lt;=5, (7-(AM$24-$I175))/6, AND(AM$24-$I175 =6,NOT(_xlfn.IFNA(ISNUMBER(SEARCH("Rending",$L175)),FALSE))), (7-(AM$24-$I175))/6, AND(AM$24-$I175 &gt;=7,NOT(_xlfn.IFNA(ISNUMBER(SEARCH("Rending",$L175)),FALSE))), 0, AM$24-$I175 =7, (7-(AM$24-1-$I175))/6, AM$24-$I175 =8, (7-(AM$24-2-$I175))/6*2/3, AM$24-$I175 =9, (7-(AM$24-3-$I175))/6*1/3, TRUE, 0) *
IF(ISNUMBER(SEARCH("Ordinance",$L175)),7/6,1) *
IF(OR(ISNUMBER(SEARCH("Melee",$L175)),ISNUMBER(SEARCH("Bypass",$L175))),1.5,1)</f>
        <v>0</v>
      </c>
      <c r="AN175" s="17" cm="1">
        <f t="array" ref="AN175">$H175 *
IF(ISNUMBER(SEARCH("Rapid",$L175)),7/6,1) *
IF(OR(ISNUMBER(SEARCH("Beam",$L175)),ISNUMBER(SEARCH("Firestorm",$L175))),1, IF(ISNUMBER(SEARCH("Blast",$L175)),(4+$G175+(2-$G175)*0.5)/6*2,(4+$G175)/6)) *
_xlfn.IFS(AN$24-$I175 &lt;=1, 5/6, AN$24-$I175 &lt;=5, (7-(AN$24-$I175))/6, AND(AN$24-$I175 =6,NOT(_xlfn.IFNA(ISNUMBER(SEARCH("Rending",$L175)),FALSE))), (7-(AN$24-$I175))/6, AND(AN$24-$I175 &gt;=7,NOT(_xlfn.IFNA(ISNUMBER(SEARCH("Rending",$L175)),FALSE))), 0, AN$24-$I175 =7, (7-(AN$24-1-$I175))/6, AN$24-$I175 =8, (7-(AN$24-2-$I175))/6*2/3, AN$24-$I175 =9, (7-(AN$24-3-$I175))/6*1/3, TRUE, 0) *
IF(ISNUMBER(SEARCH("Ordinance",$L175)),7/6,1) *
IF(OR(ISNUMBER(SEARCH("Melee",$L175)),ISNUMBER(SEARCH("Bypass",$L175))),1.5,1)</f>
        <v>0</v>
      </c>
      <c r="AO175" s="17" cm="1">
        <f t="array" ref="AO175">$H175 *
IF(ISNUMBER(SEARCH("Rapid",$L175)),7/6,1) *
IF(OR(ISNUMBER(SEARCH("Beam",$L175)),ISNUMBER(SEARCH("Firestorm",$L175))),1, IF(ISNUMBER(SEARCH("Blast",$L175)),(4+$G175+(2-$G175)*0.5)/6*2,(4+$G175)/6)) *
_xlfn.IFS(AO$24-$I175 &lt;=1, 5/6, AO$24-$I175 &lt;=5, (7-(AO$24-$I175))/6, AND(AO$24-$I175 =6,NOT(_xlfn.IFNA(ISNUMBER(SEARCH("Rending",$L175)),FALSE))), (7-(AO$24-$I175))/6, AND(AO$24-$I175 &gt;=7,NOT(_xlfn.IFNA(ISNUMBER(SEARCH("Rending",$L175)),FALSE))), 0, AO$24-$I175 =7, (7-(AO$24-1-$I175))/6, AO$24-$I175 =8, (7-(AO$24-2-$I175))/6*2/3, AO$24-$I175 =9, (7-(AO$24-3-$I175))/6*1/3, TRUE, 0) *
IF(ISNUMBER(SEARCH("Ordinance",$L175)),7/6,1) *
IF(OR(ISNUMBER(SEARCH("Melee",$L175)),ISNUMBER(SEARCH("Bypass",$L175))),1.5,1)</f>
        <v>0</v>
      </c>
      <c r="AP175" s="17" cm="1">
        <f t="array" ref="AP175">$H175 *
IF(ISNUMBER(SEARCH("Rapid",$L175)),7/6,1) *
IF(OR(ISNUMBER(SEARCH("Beam",$L175)),ISNUMBER(SEARCH("Firestorm",$L175))),1, IF(ISNUMBER(SEARCH("Blast",$L175)),(4+$G175+(2-$G175)*0.5)/6*2,(4+$G175)/6)) *
_xlfn.IFS(AP$24-$I175 &lt;=1, 5/6, AP$24-$I175 &lt;=5, (7-(AP$24-$I175))/6, AND(AP$24-$I175 =6,NOT(_xlfn.IFNA(ISNUMBER(SEARCH("Rending",$L175)),FALSE))), (7-(AP$24-$I175))/6, AND(AP$24-$I175 &gt;=7,NOT(_xlfn.IFNA(ISNUMBER(SEARCH("Rending",$L175)),FALSE))), 0, AP$24-$I175 =7, (7-(AP$24-1-$I175))/6, AP$24-$I175 =8, (7-(AP$24-2-$I175))/6*2/3, AP$24-$I175 =9, (7-(AP$24-3-$I175))/6*1/3, TRUE, 0) *
IF(ISNUMBER(SEARCH("Ordinance",$L175)),7/6,1) *
IF(OR(ISNUMBER(SEARCH("Melee",$L175)),ISNUMBER(SEARCH("Bypass",$L175))),1.5,1)</f>
        <v>0</v>
      </c>
      <c r="AQ175" s="17" cm="1">
        <f t="array" ref="AQ175">$H175 *
IF(ISNUMBER(SEARCH("Rapid",$L175)),7/6,1) *
IF(OR(ISNUMBER(SEARCH("Beam",$L175)),ISNUMBER(SEARCH("Firestorm",$L175))),1, IF(ISNUMBER(SEARCH("Blast",$L175)),(4+$G175+(2-$G175)*0.5)/6*2,(4+$G175)/6)) *
_xlfn.IFS(AQ$24-$I175 &lt;=1, 5/6, AQ$24-$I175 &lt;=5, (7-(AQ$24-$I175))/6, AND(AQ$24-$I175 =6,NOT(_xlfn.IFNA(ISNUMBER(SEARCH("Rending",$L175)),FALSE))), (7-(AQ$24-$I175))/6, AND(AQ$24-$I175 &gt;=7,NOT(_xlfn.IFNA(ISNUMBER(SEARCH("Rending",$L175)),FALSE))), 0, AQ$24-$I175 =7, (7-(AQ$24-1-$I175))/6, AQ$24-$I175 =8, (7-(AQ$24-2-$I175))/6*2/3, AQ$24-$I175 =9, (7-(AQ$24-3-$I175))/6*1/3, TRUE, 0) *
IF(ISNUMBER(SEARCH("Ordinance",$L175)),7/6,1) *
IF(OR(ISNUMBER(SEARCH("Melee",$L175)),ISNUMBER(SEARCH("Bypass",$L175))),1.5,1)</f>
        <v>0</v>
      </c>
      <c r="AS175" s="16">
        <f t="shared" si="41"/>
        <v>1.8148148148148149</v>
      </c>
      <c r="AT175" s="16">
        <f t="shared" si="42"/>
        <v>2.7222222222222228</v>
      </c>
      <c r="AU175" s="16">
        <f t="shared" si="43"/>
        <v>0.52175925925925926</v>
      </c>
      <c r="AV175" s="2">
        <v>10</v>
      </c>
    </row>
    <row r="176" spans="1:48" x14ac:dyDescent="0.3">
      <c r="A176" t="s">
        <v>616</v>
      </c>
      <c r="B176" s="3">
        <v>2</v>
      </c>
      <c r="D176" s="3">
        <v>1</v>
      </c>
      <c r="F176" s="10">
        <v>1</v>
      </c>
      <c r="G176" s="10"/>
      <c r="H176" s="3">
        <v>2</v>
      </c>
      <c r="I176" s="3">
        <v>7</v>
      </c>
      <c r="K176" s="3">
        <v>10</v>
      </c>
      <c r="L176" s="3" t="s">
        <v>643</v>
      </c>
      <c r="M176" s="3" t="s">
        <v>225</v>
      </c>
      <c r="V176" s="16">
        <f t="shared" si="33"/>
        <v>0</v>
      </c>
      <c r="W176" s="16">
        <f t="shared" si="34"/>
        <v>0</v>
      </c>
      <c r="X176" s="17" cm="1">
        <f t="array" ref="X176">$H176 *
IF(ISNUMBER(SEARCH("Rapid",$L176)),7/6,1) *
IF(OR(ISNUMBER(SEARCH("Beam",$L176)),ISNUMBER(SEARCH("Firestorm",$L176))),1, IF(ISNUMBER(SEARCH("Blast",$L176)),(4+$F176+(2-$F176)*0.5)/6*2,(4+$F176)/6)) *
IF(ISNUMBER(SEARCH("Fusion",$L176)), _xlfn.IFS(X$24-$I176 &lt;=1, 9/10, X$24-$I176 &lt;=10,(11-(X$24-$I176))/10, X$24-$I176 &gt;=11, 0),
_xlfn.IFS(X$24-$I176 &lt;=1, 5/6, X$24-$I176 &lt;=5, (7-(X$24-$I176))/6, AND(X$24-$I176 =6,NOT(_xlfn.IFNA(ISNUMBER(SEARCH("Rending",$L176)),FALSE))), (7-(X$24-$I176))/6, AND(X$24-$I176 &gt;=7,NOT(_xlfn.IFNA(ISNUMBER(SEARCH("Rending",$L176)),FALSE))), 0, X$24-$I176 =7, (7-(X$24-1-$I176))/6, X$24-$I176 =8, (7-(X$24-2-$I176))/6*2/3, X$24-$I176 =9, (7-(X$24-3-$I176))/6*1/3, TRUE, 0)) *
IF(ISNUMBER(SEARCH("Ordinance",$L176)),7/6,1) *
IF(OR(ISNUMBER(SEARCH("Melee",$L176)),ISNUMBER(SEARCH("Bypass",$L176))),1.5,1)</f>
        <v>2.0833333333333335</v>
      </c>
      <c r="Y176" s="17" cm="1">
        <f t="array" ref="Y176">$H176 *
IF(ISNUMBER(SEARCH("Rapid",$L176)),7/6,1) *
IF(OR(ISNUMBER(SEARCH("Beam",$L176)),ISNUMBER(SEARCH("Firestorm",$L176))),1, IF(ISNUMBER(SEARCH("Blast",$L176)),(4+$F176+(2-$F176)*0.5)/6*2,(4+$F176)/6)) *
IF(ISNUMBER(SEARCH("Fusion",$L176)), _xlfn.IFS(Y$24-$I176 &lt;=1, 9/10, Y$24-$I176 &lt;=10,(11-(Y$24-$I176))/10, Y$24-$I176 &gt;=11, 0),
_xlfn.IFS(Y$24-$I176 &lt;=1, 5/6, Y$24-$I176 &lt;=5, (7-(Y$24-$I176))/6, AND(Y$24-$I176 =6,NOT(_xlfn.IFNA(ISNUMBER(SEARCH("Rending",$L176)),FALSE))), (7-(Y$24-$I176))/6, AND(Y$24-$I176 &gt;=7,NOT(_xlfn.IFNA(ISNUMBER(SEARCH("Rending",$L176)),FALSE))), 0, Y$24-$I176 =7, (7-(Y$24-1-$I176))/6, Y$24-$I176 =8, (7-(Y$24-2-$I176))/6*2/3, Y$24-$I176 =9, (7-(Y$24-3-$I176))/6*1/3, TRUE, 0)) *
IF(ISNUMBER(SEARCH("Ordinance",$L176)),7/6,1) *
IF(OR(ISNUMBER(SEARCH("Melee",$L176)),ISNUMBER(SEARCH("Bypass",$L176))),1.5,1)</f>
        <v>1.6666666666666667</v>
      </c>
      <c r="Z176" s="17" cm="1">
        <f t="array" ref="Z176">$H176 *
IF(ISNUMBER(SEARCH("Rapid",$L176)),7/6,1) *
IF(OR(ISNUMBER(SEARCH("Beam",$L176)),ISNUMBER(SEARCH("Firestorm",$L176))),1, IF(ISNUMBER(SEARCH("Blast",$L176)),(4+$F176+(2-$F176)*0.5)/6*2,(4+$F176)/6)) *
IF(ISNUMBER(SEARCH("Fusion",$L176)), _xlfn.IFS(Z$24-$I176 &lt;=1, 9/10, Z$24-$I176 &lt;=10,(11-(Z$24-$I176))/10, Z$24-$I176 &gt;=11, 0),
_xlfn.IFS(Z$24-$I176 &lt;=1, 5/6, Z$24-$I176 &lt;=5, (7-(Z$24-$I176))/6, AND(Z$24-$I176 =6,NOT(_xlfn.IFNA(ISNUMBER(SEARCH("Rending",$L176)),FALSE))), (7-(Z$24-$I176))/6, AND(Z$24-$I176 &gt;=7,NOT(_xlfn.IFNA(ISNUMBER(SEARCH("Rending",$L176)),FALSE))), 0, Z$24-$I176 =7, (7-(Z$24-1-$I176))/6, Z$24-$I176 =8, (7-(Z$24-2-$I176))/6*2/3, Z$24-$I176 =9, (7-(Z$24-3-$I176))/6*1/3, TRUE, 0)) *
IF(ISNUMBER(SEARCH("Ordinance",$L176)),7/6,1) *
IF(OR(ISNUMBER(SEARCH("Melee",$L176)),ISNUMBER(SEARCH("Bypass",$L176))),1.5,1)</f>
        <v>1.25</v>
      </c>
      <c r="AA176" s="17" cm="1">
        <f t="array" ref="AA176">$H176 *
IF(ISNUMBER(SEARCH("Rapid",$L176)),7/6,1) *
IF(OR(ISNUMBER(SEARCH("Beam",$L176)),ISNUMBER(SEARCH("Firestorm",$L176))),1, IF(ISNUMBER(SEARCH("Blast",$L176)),(4+$F176+(2-$F176)*0.5)/6*2,(4+$F176)/6)) *
IF(ISNUMBER(SEARCH("Fusion",$L176)), _xlfn.IFS(AA$24-$I176 &lt;=1, 9/10, AA$24-$I176 &lt;=10,(11-(AA$24-$I176))/10, AA$24-$I176 &gt;=11, 0),
_xlfn.IFS(AA$24-$I176 &lt;=1, 5/6, AA$24-$I176 &lt;=5, (7-(AA$24-$I176))/6, AND(AA$24-$I176 =6,NOT(_xlfn.IFNA(ISNUMBER(SEARCH("Rending",$L176)),FALSE))), (7-(AA$24-$I176))/6, AND(AA$24-$I176 &gt;=7,NOT(_xlfn.IFNA(ISNUMBER(SEARCH("Rending",$L176)),FALSE))), 0, AA$24-$I176 =7, (7-(AA$24-1-$I176))/6, AA$24-$I176 =8, (7-(AA$24-2-$I176))/6*2/3, AA$24-$I176 =9, (7-(AA$24-3-$I176))/6*1/3, TRUE, 0)) *
IF(ISNUMBER(SEARCH("Ordinance",$L176)),7/6,1) *
IF(OR(ISNUMBER(SEARCH("Melee",$L176)),ISNUMBER(SEARCH("Bypass",$L176))),1.5,1)</f>
        <v>0.83333333333333337</v>
      </c>
      <c r="AB176" s="17" cm="1">
        <f t="array" ref="AB176">$H176 *
IF(ISNUMBER(SEARCH("Rapid",$L176)),7/6,1) *
IF(OR(ISNUMBER(SEARCH("Beam",$L176)),ISNUMBER(SEARCH("Firestorm",$L176))),1, IF(ISNUMBER(SEARCH("Blast",$L176)),(4+$F176+(2-$F176)*0.5)/6*2,(4+$F176)/6)) *
IF(ISNUMBER(SEARCH("Fusion",$L176)), _xlfn.IFS(AB$24-$I176 &lt;=1, 9/10, AB$24-$I176 &lt;=10,(11-(AB$24-$I176))/10, AB$24-$I176 &gt;=11, 0),
_xlfn.IFS(AB$24-$I176 &lt;=1, 5/6, AB$24-$I176 &lt;=5, (7-(AB$24-$I176))/6, AND(AB$24-$I176 =6,NOT(_xlfn.IFNA(ISNUMBER(SEARCH("Rending",$L176)),FALSE))), (7-(AB$24-$I176))/6, AND(AB$24-$I176 &gt;=7,NOT(_xlfn.IFNA(ISNUMBER(SEARCH("Rending",$L176)),FALSE))), 0, AB$24-$I176 =7, (7-(AB$24-1-$I176))/6, AB$24-$I176 =8, (7-(AB$24-2-$I176))/6*2/3, AB$24-$I176 =9, (7-(AB$24-3-$I176))/6*1/3, TRUE, 0)) *
IF(ISNUMBER(SEARCH("Ordinance",$L176)),7/6,1) *
IF(OR(ISNUMBER(SEARCH("Melee",$L176)),ISNUMBER(SEARCH("Bypass",$L176))),1.5,1)</f>
        <v>0</v>
      </c>
      <c r="AC176" s="17" cm="1">
        <f t="array" ref="AC176">$H176 *
IF(ISNUMBER(SEARCH("Rapid",$L176)),7/6,1) *
IF(OR(ISNUMBER(SEARCH("Beam",$L176)),ISNUMBER(SEARCH("Firestorm",$L176))),1, IF(ISNUMBER(SEARCH("Blast",$L176)),(4+$F176+(2-$F176)*0.5)/6*2,(4+$F176)/6)) *
IF(ISNUMBER(SEARCH("Fusion",$L176)), _xlfn.IFS(AC$24-$I176 &lt;=1, 9/10, AC$24-$I176 &lt;=10,(11-(AC$24-$I176))/10, AC$24-$I176 &gt;=11, 0),
_xlfn.IFS(AC$24-$I176 &lt;=1, 5/6, AC$24-$I176 &lt;=5, (7-(AC$24-$I176))/6, AND(AC$24-$I176 =6,NOT(_xlfn.IFNA(ISNUMBER(SEARCH("Rending",$L176)),FALSE))), (7-(AC$24-$I176))/6, AND(AC$24-$I176 &gt;=7,NOT(_xlfn.IFNA(ISNUMBER(SEARCH("Rending",$L176)),FALSE))), 0, AC$24-$I176 =7, (7-(AC$24-1-$I176))/6, AC$24-$I176 =8, (7-(AC$24-2-$I176))/6*2/3, AC$24-$I176 =9, (7-(AC$24-3-$I176))/6*1/3, TRUE, 0)) *
IF(ISNUMBER(SEARCH("Ordinance",$L176)),7/6,1) *
IF(OR(ISNUMBER(SEARCH("Melee",$L176)),ISNUMBER(SEARCH("Bypass",$L176))),1.5,1)</f>
        <v>0.41666666666666669</v>
      </c>
      <c r="AD176" s="17" cm="1">
        <f t="array" ref="AD176">$H176 *
IF(ISNUMBER(SEARCH("Rapid",$L176)),7/6,1) *
IF(OR(ISNUMBER(SEARCH("Beam",$L176)),ISNUMBER(SEARCH("Firestorm",$L176))),1, IF(ISNUMBER(SEARCH("Blast",$L176)),(4+$F176+(2-$F176)*0.5)/6*2,(4+$F176)/6)) *
IF(ISNUMBER(SEARCH("Fusion",$L176)), _xlfn.IFS(AD$24-$I176 &lt;=1, 9/10, AD$24-$I176 &lt;=10,(11-(AD$24-$I176))/10, AD$24-$I176 &gt;=11, 0),
_xlfn.IFS(AD$24-$I176 &lt;=1, 5/6, AD$24-$I176 &lt;=5, (7-(AD$24-$I176))/6, AND(AD$24-$I176 =6,NOT(_xlfn.IFNA(ISNUMBER(SEARCH("Rending",$L176)),FALSE))), (7-(AD$24-$I176))/6, AND(AD$24-$I176 &gt;=7,NOT(_xlfn.IFNA(ISNUMBER(SEARCH("Rending",$L176)),FALSE))), 0, AD$24-$I176 =7, (7-(AD$24-1-$I176))/6, AD$24-$I176 =8, (7-(AD$24-2-$I176))/6*2/3, AD$24-$I176 =9, (7-(AD$24-3-$I176))/6*1/3, TRUE, 0)) *
IF(ISNUMBER(SEARCH("Ordinance",$L176)),7/6,1) *
IF(OR(ISNUMBER(SEARCH("Melee",$L176)),ISNUMBER(SEARCH("Bypass",$L176))),1.5,1)</f>
        <v>0.27777777777777779</v>
      </c>
      <c r="AE176" s="17" cm="1">
        <f t="array" ref="AE176">$H176 *
IF(ISNUMBER(SEARCH("Rapid",$L176)),7/6,1) *
IF(OR(ISNUMBER(SEARCH("Beam",$L176)),ISNUMBER(SEARCH("Firestorm",$L176))),1, IF(ISNUMBER(SEARCH("Blast",$L176)),(4+$F176+(2-$F176)*0.5)/6*2,(4+$F176)/6)) *
IF(ISNUMBER(SEARCH("Fusion",$L176)), _xlfn.IFS(AE$24-$I176 &lt;=1, 9/10, AE$24-$I176 &lt;=10,(11-(AE$24-$I176))/10, AE$24-$I176 &gt;=11, 0),
_xlfn.IFS(AE$24-$I176 &lt;=1, 5/6, AE$24-$I176 &lt;=5, (7-(AE$24-$I176))/6, AND(AE$24-$I176 =6,NOT(_xlfn.IFNA(ISNUMBER(SEARCH("Rending",$L176)),FALSE))), (7-(AE$24-$I176))/6, AND(AE$24-$I176 &gt;=7,NOT(_xlfn.IFNA(ISNUMBER(SEARCH("Rending",$L176)),FALSE))), 0, AE$24-$I176 =7, (7-(AE$24-1-$I176))/6, AE$24-$I176 =8, (7-(AE$24-2-$I176))/6*2/3, AE$24-$I176 =9, (7-(AE$24-3-$I176))/6*1/3, TRUE, 0)) *
IF(ISNUMBER(SEARCH("Ordinance",$L176)),7/6,1) *
IF(OR(ISNUMBER(SEARCH("Melee",$L176)),ISNUMBER(SEARCH("Bypass",$L176))),1.5,1)</f>
        <v>0.1388888888888889</v>
      </c>
      <c r="AF176" s="17" cm="1">
        <f t="array" ref="AF176">$H176 *
IF(ISNUMBER(SEARCH("Rapid",$L176)),7/6,1) *
IF(OR(ISNUMBER(SEARCH("Beam",$L176)),ISNUMBER(SEARCH("Firestorm",$L176))),1, IF(ISNUMBER(SEARCH("Blast",$L176)),(4+$F176+(2-$F176)*0.5)/6*2,(4+$F176)/6)) *
IF(ISNUMBER(SEARCH("Fusion",$L176)), _xlfn.IFS(AF$24-$I176 &lt;=1, 9/10, AF$24-$I176 &lt;=10,(11-(AF$24-$I176))/10, AF$24-$I176 &gt;=11, 0),
_xlfn.IFS(AF$24-$I176 &lt;=1, 5/6, AF$24-$I176 &lt;=5, (7-(AF$24-$I176))/6, AND(AF$24-$I176 =6,NOT(_xlfn.IFNA(ISNUMBER(SEARCH("Rending",$L176)),FALSE))), (7-(AF$24-$I176))/6, AND(AF$24-$I176 &gt;=7,NOT(_xlfn.IFNA(ISNUMBER(SEARCH("Rending",$L176)),FALSE))), 0, AF$24-$I176 =7, (7-(AF$24-1-$I176))/6, AF$24-$I176 =8, (7-(AF$24-2-$I176))/6*2/3, AF$24-$I176 =9, (7-(AF$24-3-$I176))/6*1/3, TRUE, 0)) *
IF(ISNUMBER(SEARCH("Ordinance",$L176)),7/6,1) *
IF(OR(ISNUMBER(SEARCH("Melee",$L176)),ISNUMBER(SEARCH("Bypass",$L176))),1.5,1)</f>
        <v>0</v>
      </c>
      <c r="AG176" s="16">
        <f t="shared" si="35"/>
        <v>0</v>
      </c>
      <c r="AH176" s="16">
        <f t="shared" si="36"/>
        <v>0</v>
      </c>
      <c r="AI176" s="17" cm="1">
        <f t="array" ref="AI176">$H176 *
IF(ISNUMBER(SEARCH("Rapid",$L176)),7/6,1) *
IF(OR(ISNUMBER(SEARCH("Beam",$L176)),ISNUMBER(SEARCH("Firestorm",$L176))),1, IF(ISNUMBER(SEARCH("Blast",$L176)),(4+$G176+(2-$G176)*0.5)/6*2,(4+$G176)/6)) *
_xlfn.IFS(AI$24-$I176 &lt;=1, 5/6, AI$24-$I176 &lt;=5, (7-(AI$24-$I176))/6, AND(AI$24-$I176 =6,NOT(_xlfn.IFNA(ISNUMBER(SEARCH("Rending",$L176)),FALSE))), (7-(AI$24-$I176))/6, AND(AI$24-$I176 &gt;=7,NOT(_xlfn.IFNA(ISNUMBER(SEARCH("Rending",$L176)),FALSE))), 0, AI$24-$I176 =7, (7-(AI$24-1-$I176))/6, AI$24-$I176 =8, (7-(AI$24-2-$I176))/6*2/3, AI$24-$I176 =9, (7-(AI$24-3-$I176))/6*1/3, TRUE, 0) *
IF(ISNUMBER(SEARCH("Ordinance",$L176)),7/6,1) *
IF(OR(ISNUMBER(SEARCH("Melee",$L176)),ISNUMBER(SEARCH("Bypass",$L176))),1.5,1)</f>
        <v>1.6666666666666667</v>
      </c>
      <c r="AJ176" s="17" cm="1">
        <f t="array" ref="AJ176">$H176 *
IF(ISNUMBER(SEARCH("Rapid",$L176)),7/6,1) *
IF(OR(ISNUMBER(SEARCH("Beam",$L176)),ISNUMBER(SEARCH("Firestorm",$L176))),1, IF(ISNUMBER(SEARCH("Blast",$L176)),(4+$G176+(2-$G176)*0.5)/6*2,(4+$G176)/6)) *
_xlfn.IFS(AJ$24-$I176 &lt;=1, 5/6, AJ$24-$I176 &lt;=5, (7-(AJ$24-$I176))/6, AND(AJ$24-$I176 =6,NOT(_xlfn.IFNA(ISNUMBER(SEARCH("Rending",$L176)),FALSE))), (7-(AJ$24-$I176))/6, AND(AJ$24-$I176 &gt;=7,NOT(_xlfn.IFNA(ISNUMBER(SEARCH("Rending",$L176)),FALSE))), 0, AJ$24-$I176 =7, (7-(AJ$24-1-$I176))/6, AJ$24-$I176 =8, (7-(AJ$24-2-$I176))/6*2/3, AJ$24-$I176 =9, (7-(AJ$24-3-$I176))/6*1/3, TRUE, 0) *
IF(ISNUMBER(SEARCH("Ordinance",$L176)),7/6,1) *
IF(OR(ISNUMBER(SEARCH("Melee",$L176)),ISNUMBER(SEARCH("Bypass",$L176))),1.5,1)</f>
        <v>1.3333333333333333</v>
      </c>
      <c r="AK176" s="17" cm="1">
        <f t="array" ref="AK176">$H176 *
IF(ISNUMBER(SEARCH("Rapid",$L176)),7/6,1) *
IF(OR(ISNUMBER(SEARCH("Beam",$L176)),ISNUMBER(SEARCH("Firestorm",$L176))),1, IF(ISNUMBER(SEARCH("Blast",$L176)),(4+$G176+(2-$G176)*0.5)/6*2,(4+$G176)/6)) *
_xlfn.IFS(AK$24-$I176 &lt;=1, 5/6, AK$24-$I176 &lt;=5, (7-(AK$24-$I176))/6, AND(AK$24-$I176 =6,NOT(_xlfn.IFNA(ISNUMBER(SEARCH("Rending",$L176)),FALSE))), (7-(AK$24-$I176))/6, AND(AK$24-$I176 &gt;=7,NOT(_xlfn.IFNA(ISNUMBER(SEARCH("Rending",$L176)),FALSE))), 0, AK$24-$I176 =7, (7-(AK$24-1-$I176))/6, AK$24-$I176 =8, (7-(AK$24-2-$I176))/6*2/3, AK$24-$I176 =9, (7-(AK$24-3-$I176))/6*1/3, TRUE, 0) *
IF(ISNUMBER(SEARCH("Ordinance",$L176)),7/6,1) *
IF(OR(ISNUMBER(SEARCH("Melee",$L176)),ISNUMBER(SEARCH("Bypass",$L176))),1.5,1)</f>
        <v>1</v>
      </c>
      <c r="AL176" s="17" cm="1">
        <f t="array" ref="AL176">$H176 *
IF(ISNUMBER(SEARCH("Rapid",$L176)),7/6,1) *
IF(OR(ISNUMBER(SEARCH("Beam",$L176)),ISNUMBER(SEARCH("Firestorm",$L176))),1, IF(ISNUMBER(SEARCH("Blast",$L176)),(4+$G176+(2-$G176)*0.5)/6*2,(4+$G176)/6)) *
_xlfn.IFS(AL$24-$I176 &lt;=1, 5/6, AL$24-$I176 &lt;=5, (7-(AL$24-$I176))/6, AND(AL$24-$I176 =6,NOT(_xlfn.IFNA(ISNUMBER(SEARCH("Rending",$L176)),FALSE))), (7-(AL$24-$I176))/6, AND(AL$24-$I176 &gt;=7,NOT(_xlfn.IFNA(ISNUMBER(SEARCH("Rending",$L176)),FALSE))), 0, AL$24-$I176 =7, (7-(AL$24-1-$I176))/6, AL$24-$I176 =8, (7-(AL$24-2-$I176))/6*2/3, AL$24-$I176 =9, (7-(AL$24-3-$I176))/6*1/3, TRUE, 0) *
IF(ISNUMBER(SEARCH("Ordinance",$L176)),7/6,1) *
IF(OR(ISNUMBER(SEARCH("Melee",$L176)),ISNUMBER(SEARCH("Bypass",$L176))),1.5,1)</f>
        <v>0.66666666666666663</v>
      </c>
      <c r="AM176" s="17" cm="1">
        <f t="array" ref="AM176">$H176 *
IF(ISNUMBER(SEARCH("Rapid",$L176)),7/6,1) *
IF(OR(ISNUMBER(SEARCH("Beam",$L176)),ISNUMBER(SEARCH("Firestorm",$L176))),1, IF(ISNUMBER(SEARCH("Blast",$L176)),(4+$G176+(2-$G176)*0.5)/6*2,(4+$G176)/6)) *
_xlfn.IFS(AM$24-$I176 &lt;=1, 5/6, AM$24-$I176 &lt;=5, (7-(AM$24-$I176))/6, AND(AM$24-$I176 =6,NOT(_xlfn.IFNA(ISNUMBER(SEARCH("Rending",$L176)),FALSE))), (7-(AM$24-$I176))/6, AND(AM$24-$I176 &gt;=7,NOT(_xlfn.IFNA(ISNUMBER(SEARCH("Rending",$L176)),FALSE))), 0, AM$24-$I176 =7, (7-(AM$24-1-$I176))/6, AM$24-$I176 =8, (7-(AM$24-2-$I176))/6*2/3, AM$24-$I176 =9, (7-(AM$24-3-$I176))/6*1/3, TRUE, 0) *
IF(ISNUMBER(SEARCH("Ordinance",$L176)),7/6,1) *
IF(OR(ISNUMBER(SEARCH("Melee",$L176)),ISNUMBER(SEARCH("Bypass",$L176))),1.5,1)</f>
        <v>0</v>
      </c>
      <c r="AN176" s="17" cm="1">
        <f t="array" ref="AN176">$H176 *
IF(ISNUMBER(SEARCH("Rapid",$L176)),7/6,1) *
IF(OR(ISNUMBER(SEARCH("Beam",$L176)),ISNUMBER(SEARCH("Firestorm",$L176))),1, IF(ISNUMBER(SEARCH("Blast",$L176)),(4+$G176+(2-$G176)*0.5)/6*2,(4+$G176)/6)) *
_xlfn.IFS(AN$24-$I176 &lt;=1, 5/6, AN$24-$I176 &lt;=5, (7-(AN$24-$I176))/6, AND(AN$24-$I176 =6,NOT(_xlfn.IFNA(ISNUMBER(SEARCH("Rending",$L176)),FALSE))), (7-(AN$24-$I176))/6, AND(AN$24-$I176 &gt;=7,NOT(_xlfn.IFNA(ISNUMBER(SEARCH("Rending",$L176)),FALSE))), 0, AN$24-$I176 =7, (7-(AN$24-1-$I176))/6, AN$24-$I176 =8, (7-(AN$24-2-$I176))/6*2/3, AN$24-$I176 =9, (7-(AN$24-3-$I176))/6*1/3, TRUE, 0) *
IF(ISNUMBER(SEARCH("Ordinance",$L176)),7/6,1) *
IF(OR(ISNUMBER(SEARCH("Melee",$L176)),ISNUMBER(SEARCH("Bypass",$L176))),1.5,1)</f>
        <v>0.33333333333333331</v>
      </c>
      <c r="AO176" s="17" cm="1">
        <f t="array" ref="AO176">$H176 *
IF(ISNUMBER(SEARCH("Rapid",$L176)),7/6,1) *
IF(OR(ISNUMBER(SEARCH("Beam",$L176)),ISNUMBER(SEARCH("Firestorm",$L176))),1, IF(ISNUMBER(SEARCH("Blast",$L176)),(4+$G176+(2-$G176)*0.5)/6*2,(4+$G176)/6)) *
_xlfn.IFS(AO$24-$I176 &lt;=1, 5/6, AO$24-$I176 &lt;=5, (7-(AO$24-$I176))/6, AND(AO$24-$I176 =6,NOT(_xlfn.IFNA(ISNUMBER(SEARCH("Rending",$L176)),FALSE))), (7-(AO$24-$I176))/6, AND(AO$24-$I176 &gt;=7,NOT(_xlfn.IFNA(ISNUMBER(SEARCH("Rending",$L176)),FALSE))), 0, AO$24-$I176 =7, (7-(AO$24-1-$I176))/6, AO$24-$I176 =8, (7-(AO$24-2-$I176))/6*2/3, AO$24-$I176 =9, (7-(AO$24-3-$I176))/6*1/3, TRUE, 0) *
IF(ISNUMBER(SEARCH("Ordinance",$L176)),7/6,1) *
IF(OR(ISNUMBER(SEARCH("Melee",$L176)),ISNUMBER(SEARCH("Bypass",$L176))),1.5,1)</f>
        <v>0.22222222222222221</v>
      </c>
      <c r="AP176" s="17" cm="1">
        <f t="array" ref="AP176">$H176 *
IF(ISNUMBER(SEARCH("Rapid",$L176)),7/6,1) *
IF(OR(ISNUMBER(SEARCH("Beam",$L176)),ISNUMBER(SEARCH("Firestorm",$L176))),1, IF(ISNUMBER(SEARCH("Blast",$L176)),(4+$G176+(2-$G176)*0.5)/6*2,(4+$G176)/6)) *
_xlfn.IFS(AP$24-$I176 &lt;=1, 5/6, AP$24-$I176 &lt;=5, (7-(AP$24-$I176))/6, AND(AP$24-$I176 =6,NOT(_xlfn.IFNA(ISNUMBER(SEARCH("Rending",$L176)),FALSE))), (7-(AP$24-$I176))/6, AND(AP$24-$I176 &gt;=7,NOT(_xlfn.IFNA(ISNUMBER(SEARCH("Rending",$L176)),FALSE))), 0, AP$24-$I176 =7, (7-(AP$24-1-$I176))/6, AP$24-$I176 =8, (7-(AP$24-2-$I176))/6*2/3, AP$24-$I176 =9, (7-(AP$24-3-$I176))/6*1/3, TRUE, 0) *
IF(ISNUMBER(SEARCH("Ordinance",$L176)),7/6,1) *
IF(OR(ISNUMBER(SEARCH("Melee",$L176)),ISNUMBER(SEARCH("Bypass",$L176))),1.5,1)</f>
        <v>0.1111111111111111</v>
      </c>
      <c r="AQ176" s="17" cm="1">
        <f t="array" ref="AQ176">$H176 *
IF(ISNUMBER(SEARCH("Rapid",$L176)),7/6,1) *
IF(OR(ISNUMBER(SEARCH("Beam",$L176)),ISNUMBER(SEARCH("Firestorm",$L176))),1, IF(ISNUMBER(SEARCH("Blast",$L176)),(4+$G176+(2-$G176)*0.5)/6*2,(4+$G176)/6)) *
_xlfn.IFS(AQ$24-$I176 &lt;=1, 5/6, AQ$24-$I176 &lt;=5, (7-(AQ$24-$I176))/6, AND(AQ$24-$I176 =6,NOT(_xlfn.IFNA(ISNUMBER(SEARCH("Rending",$L176)),FALSE))), (7-(AQ$24-$I176))/6, AND(AQ$24-$I176 &gt;=7,NOT(_xlfn.IFNA(ISNUMBER(SEARCH("Rending",$L176)),FALSE))), 0, AQ$24-$I176 =7, (7-(AQ$24-1-$I176))/6, AQ$24-$I176 =8, (7-(AQ$24-2-$I176))/6*2/3, AQ$24-$I176 =9, (7-(AQ$24-3-$I176))/6*1/3, TRUE, 0) *
IF(ISNUMBER(SEARCH("Ordinance",$L176)),7/6,1) *
IF(OR(ISNUMBER(SEARCH("Melee",$L176)),ISNUMBER(SEARCH("Bypass",$L176))),1.5,1)</f>
        <v>0</v>
      </c>
      <c r="AS176" s="16">
        <f t="shared" si="41"/>
        <v>0</v>
      </c>
      <c r="AT176" s="16">
        <f t="shared" si="42"/>
        <v>0</v>
      </c>
      <c r="AU176" s="16">
        <f t="shared" si="43"/>
        <v>0.4861111111111111</v>
      </c>
      <c r="AV176" s="2">
        <v>10</v>
      </c>
    </row>
    <row r="177" spans="1:48" x14ac:dyDescent="0.3">
      <c r="A177" t="s">
        <v>617</v>
      </c>
      <c r="B177" s="3" t="s">
        <v>154</v>
      </c>
      <c r="F177" s="10"/>
      <c r="G177" s="10"/>
      <c r="H177" s="3">
        <v>2</v>
      </c>
      <c r="I177" s="3">
        <v>7</v>
      </c>
      <c r="K177" s="3">
        <v>15</v>
      </c>
      <c r="L177" s="3" t="s">
        <v>520</v>
      </c>
      <c r="M177" s="3" t="s">
        <v>225</v>
      </c>
      <c r="V177" s="16">
        <f t="shared" si="33"/>
        <v>0.66666666666666663</v>
      </c>
      <c r="W177" s="16">
        <f t="shared" si="34"/>
        <v>1</v>
      </c>
      <c r="X177" s="17" cm="1">
        <f t="array" ref="X177">$H177 *
IF(ISNUMBER(SEARCH("Rapid",$L177)),7/6,1) *
IF(OR(ISNUMBER(SEARCH("Beam",$L177)),ISNUMBER(SEARCH("Firestorm",$L177))),1, IF(ISNUMBER(SEARCH("Blast",$L177)),(4+$F177+(2-$F177)*0.5)/6*2,(4+$F177)/6)) *
IF(ISNUMBER(SEARCH("Fusion",$L177)), _xlfn.IFS(X$24-$I177 &lt;=1, 9/10, X$24-$I177 &lt;=10,(11-(X$24-$I177))/10, X$24-$I177 &gt;=11, 0),
_xlfn.IFS(X$24-$I177 &lt;=1, 5/6, X$24-$I177 &lt;=5, (7-(X$24-$I177))/6, AND(X$24-$I177 =6,NOT(_xlfn.IFNA(ISNUMBER(SEARCH("Rending",$L177)),FALSE))), (7-(X$24-$I177))/6, AND(X$24-$I177 &gt;=7,NOT(_xlfn.IFNA(ISNUMBER(SEARCH("Rending",$L177)),FALSE))), 0, X$24-$I177 =7, (7-(X$24-1-$I177))/6, X$24-$I177 =8, (7-(X$24-2-$I177))/6*2/3, X$24-$I177 =9, (7-(X$24-3-$I177))/6*1/3, TRUE, 0)) *
IF(ISNUMBER(SEARCH("Ordinance",$L177)),7/6,1) *
IF(OR(ISNUMBER(SEARCH("Melee",$L177)),ISNUMBER(SEARCH("Bypass",$L177))),1.5,1)</f>
        <v>1.6666666666666667</v>
      </c>
      <c r="Y177" s="17" cm="1">
        <f t="array" ref="Y177">$H177 *
IF(ISNUMBER(SEARCH("Rapid",$L177)),7/6,1) *
IF(OR(ISNUMBER(SEARCH("Beam",$L177)),ISNUMBER(SEARCH("Firestorm",$L177))),1, IF(ISNUMBER(SEARCH("Blast",$L177)),(4+$F177+(2-$F177)*0.5)/6*2,(4+$F177)/6)) *
IF(ISNUMBER(SEARCH("Fusion",$L177)), _xlfn.IFS(Y$24-$I177 &lt;=1, 9/10, Y$24-$I177 &lt;=10,(11-(Y$24-$I177))/10, Y$24-$I177 &gt;=11, 0),
_xlfn.IFS(Y$24-$I177 &lt;=1, 5/6, Y$24-$I177 &lt;=5, (7-(Y$24-$I177))/6, AND(Y$24-$I177 =6,NOT(_xlfn.IFNA(ISNUMBER(SEARCH("Rending",$L177)),FALSE))), (7-(Y$24-$I177))/6, AND(Y$24-$I177 &gt;=7,NOT(_xlfn.IFNA(ISNUMBER(SEARCH("Rending",$L177)),FALSE))), 0, Y$24-$I177 =7, (7-(Y$24-1-$I177))/6, Y$24-$I177 =8, (7-(Y$24-2-$I177))/6*2/3, Y$24-$I177 =9, (7-(Y$24-3-$I177))/6*1/3, TRUE, 0)) *
IF(ISNUMBER(SEARCH("Ordinance",$L177)),7/6,1) *
IF(OR(ISNUMBER(SEARCH("Melee",$L177)),ISNUMBER(SEARCH("Bypass",$L177))),1.5,1)</f>
        <v>1.3333333333333333</v>
      </c>
      <c r="Z177" s="17" cm="1">
        <f t="array" ref="Z177">$H177 *
IF(ISNUMBER(SEARCH("Rapid",$L177)),7/6,1) *
IF(OR(ISNUMBER(SEARCH("Beam",$L177)),ISNUMBER(SEARCH("Firestorm",$L177))),1, IF(ISNUMBER(SEARCH("Blast",$L177)),(4+$F177+(2-$F177)*0.5)/6*2,(4+$F177)/6)) *
IF(ISNUMBER(SEARCH("Fusion",$L177)), _xlfn.IFS(Z$24-$I177 &lt;=1, 9/10, Z$24-$I177 &lt;=10,(11-(Z$24-$I177))/10, Z$24-$I177 &gt;=11, 0),
_xlfn.IFS(Z$24-$I177 &lt;=1, 5/6, Z$24-$I177 &lt;=5, (7-(Z$24-$I177))/6, AND(Z$24-$I177 =6,NOT(_xlfn.IFNA(ISNUMBER(SEARCH("Rending",$L177)),FALSE))), (7-(Z$24-$I177))/6, AND(Z$24-$I177 &gt;=7,NOT(_xlfn.IFNA(ISNUMBER(SEARCH("Rending",$L177)),FALSE))), 0, Z$24-$I177 =7, (7-(Z$24-1-$I177))/6, Z$24-$I177 =8, (7-(Z$24-2-$I177))/6*2/3, Z$24-$I177 =9, (7-(Z$24-3-$I177))/6*1/3, TRUE, 0)) *
IF(ISNUMBER(SEARCH("Ordinance",$L177)),7/6,1) *
IF(OR(ISNUMBER(SEARCH("Melee",$L177)),ISNUMBER(SEARCH("Bypass",$L177))),1.5,1)</f>
        <v>1</v>
      </c>
      <c r="AA177" s="17" cm="1">
        <f t="array" ref="AA177">$H177 *
IF(ISNUMBER(SEARCH("Rapid",$L177)),7/6,1) *
IF(OR(ISNUMBER(SEARCH("Beam",$L177)),ISNUMBER(SEARCH("Firestorm",$L177))),1, IF(ISNUMBER(SEARCH("Blast",$L177)),(4+$F177+(2-$F177)*0.5)/6*2,(4+$F177)/6)) *
IF(ISNUMBER(SEARCH("Fusion",$L177)), _xlfn.IFS(AA$24-$I177 &lt;=1, 9/10, AA$24-$I177 &lt;=10,(11-(AA$24-$I177))/10, AA$24-$I177 &gt;=11, 0),
_xlfn.IFS(AA$24-$I177 &lt;=1, 5/6, AA$24-$I177 &lt;=5, (7-(AA$24-$I177))/6, AND(AA$24-$I177 =6,NOT(_xlfn.IFNA(ISNUMBER(SEARCH("Rending",$L177)),FALSE))), (7-(AA$24-$I177))/6, AND(AA$24-$I177 &gt;=7,NOT(_xlfn.IFNA(ISNUMBER(SEARCH("Rending",$L177)),FALSE))), 0, AA$24-$I177 =7, (7-(AA$24-1-$I177))/6, AA$24-$I177 =8, (7-(AA$24-2-$I177))/6*2/3, AA$24-$I177 =9, (7-(AA$24-3-$I177))/6*1/3, TRUE, 0)) *
IF(ISNUMBER(SEARCH("Ordinance",$L177)),7/6,1) *
IF(OR(ISNUMBER(SEARCH("Melee",$L177)),ISNUMBER(SEARCH("Bypass",$L177))),1.5,1)</f>
        <v>0.66666666666666663</v>
      </c>
      <c r="AB177" s="17" cm="1">
        <f t="array" ref="AB177">$H177 *
IF(ISNUMBER(SEARCH("Rapid",$L177)),7/6,1) *
IF(OR(ISNUMBER(SEARCH("Beam",$L177)),ISNUMBER(SEARCH("Firestorm",$L177))),1, IF(ISNUMBER(SEARCH("Blast",$L177)),(4+$F177+(2-$F177)*0.5)/6*2,(4+$F177)/6)) *
IF(ISNUMBER(SEARCH("Fusion",$L177)), _xlfn.IFS(AB$24-$I177 &lt;=1, 9/10, AB$24-$I177 &lt;=10,(11-(AB$24-$I177))/10, AB$24-$I177 &gt;=11, 0),
_xlfn.IFS(AB$24-$I177 &lt;=1, 5/6, AB$24-$I177 &lt;=5, (7-(AB$24-$I177))/6, AND(AB$24-$I177 =6,NOT(_xlfn.IFNA(ISNUMBER(SEARCH("Rending",$L177)),FALSE))), (7-(AB$24-$I177))/6, AND(AB$24-$I177 &gt;=7,NOT(_xlfn.IFNA(ISNUMBER(SEARCH("Rending",$L177)),FALSE))), 0, AB$24-$I177 =7, (7-(AB$24-1-$I177))/6, AB$24-$I177 =8, (7-(AB$24-2-$I177))/6*2/3, AB$24-$I177 =9, (7-(AB$24-3-$I177))/6*1/3, TRUE, 0)) *
IF(ISNUMBER(SEARCH("Ordinance",$L177)),7/6,1) *
IF(OR(ISNUMBER(SEARCH("Melee",$L177)),ISNUMBER(SEARCH("Bypass",$L177))),1.5,1)</f>
        <v>0.33333333333333331</v>
      </c>
      <c r="AC177" s="17" cm="1">
        <f t="array" ref="AC177">$H177 *
IF(ISNUMBER(SEARCH("Rapid",$L177)),7/6,1) *
IF(OR(ISNUMBER(SEARCH("Beam",$L177)),ISNUMBER(SEARCH("Firestorm",$L177))),1, IF(ISNUMBER(SEARCH("Blast",$L177)),(4+$F177+(2-$F177)*0.5)/6*2,(4+$F177)/6)) *
IF(ISNUMBER(SEARCH("Fusion",$L177)), _xlfn.IFS(AC$24-$I177 &lt;=1, 9/10, AC$24-$I177 &lt;=10,(11-(AC$24-$I177))/10, AC$24-$I177 &gt;=11, 0),
_xlfn.IFS(AC$24-$I177 &lt;=1, 5/6, AC$24-$I177 &lt;=5, (7-(AC$24-$I177))/6, AND(AC$24-$I177 =6,NOT(_xlfn.IFNA(ISNUMBER(SEARCH("Rending",$L177)),FALSE))), (7-(AC$24-$I177))/6, AND(AC$24-$I177 &gt;=7,NOT(_xlfn.IFNA(ISNUMBER(SEARCH("Rending",$L177)),FALSE))), 0, AC$24-$I177 =7, (7-(AC$24-1-$I177))/6, AC$24-$I177 =8, (7-(AC$24-2-$I177))/6*2/3, AC$24-$I177 =9, (7-(AC$24-3-$I177))/6*1/3, TRUE, 0)) *
IF(ISNUMBER(SEARCH("Ordinance",$L177)),7/6,1) *
IF(OR(ISNUMBER(SEARCH("Melee",$L177)),ISNUMBER(SEARCH("Bypass",$L177))),1.5,1)</f>
        <v>0</v>
      </c>
      <c r="AD177" s="17" cm="1">
        <f t="array" ref="AD177">$H177 *
IF(ISNUMBER(SEARCH("Rapid",$L177)),7/6,1) *
IF(OR(ISNUMBER(SEARCH("Beam",$L177)),ISNUMBER(SEARCH("Firestorm",$L177))),1, IF(ISNUMBER(SEARCH("Blast",$L177)),(4+$F177+(2-$F177)*0.5)/6*2,(4+$F177)/6)) *
IF(ISNUMBER(SEARCH("Fusion",$L177)), _xlfn.IFS(AD$24-$I177 &lt;=1, 9/10, AD$24-$I177 &lt;=10,(11-(AD$24-$I177))/10, AD$24-$I177 &gt;=11, 0),
_xlfn.IFS(AD$24-$I177 &lt;=1, 5/6, AD$24-$I177 &lt;=5, (7-(AD$24-$I177))/6, AND(AD$24-$I177 =6,NOT(_xlfn.IFNA(ISNUMBER(SEARCH("Rending",$L177)),FALSE))), (7-(AD$24-$I177))/6, AND(AD$24-$I177 &gt;=7,NOT(_xlfn.IFNA(ISNUMBER(SEARCH("Rending",$L177)),FALSE))), 0, AD$24-$I177 =7, (7-(AD$24-1-$I177))/6, AD$24-$I177 =8, (7-(AD$24-2-$I177))/6*2/3, AD$24-$I177 =9, (7-(AD$24-3-$I177))/6*1/3, TRUE, 0)) *
IF(ISNUMBER(SEARCH("Ordinance",$L177)),7/6,1) *
IF(OR(ISNUMBER(SEARCH("Melee",$L177)),ISNUMBER(SEARCH("Bypass",$L177))),1.5,1)</f>
        <v>0</v>
      </c>
      <c r="AE177" s="17" cm="1">
        <f t="array" ref="AE177">$H177 *
IF(ISNUMBER(SEARCH("Rapid",$L177)),7/6,1) *
IF(OR(ISNUMBER(SEARCH("Beam",$L177)),ISNUMBER(SEARCH("Firestorm",$L177))),1, IF(ISNUMBER(SEARCH("Blast",$L177)),(4+$F177+(2-$F177)*0.5)/6*2,(4+$F177)/6)) *
IF(ISNUMBER(SEARCH("Fusion",$L177)), _xlfn.IFS(AE$24-$I177 &lt;=1, 9/10, AE$24-$I177 &lt;=10,(11-(AE$24-$I177))/10, AE$24-$I177 &gt;=11, 0),
_xlfn.IFS(AE$24-$I177 &lt;=1, 5/6, AE$24-$I177 &lt;=5, (7-(AE$24-$I177))/6, AND(AE$24-$I177 =6,NOT(_xlfn.IFNA(ISNUMBER(SEARCH("Rending",$L177)),FALSE))), (7-(AE$24-$I177))/6, AND(AE$24-$I177 &gt;=7,NOT(_xlfn.IFNA(ISNUMBER(SEARCH("Rending",$L177)),FALSE))), 0, AE$24-$I177 =7, (7-(AE$24-1-$I177))/6, AE$24-$I177 =8, (7-(AE$24-2-$I177))/6*2/3, AE$24-$I177 =9, (7-(AE$24-3-$I177))/6*1/3, TRUE, 0)) *
IF(ISNUMBER(SEARCH("Ordinance",$L177)),7/6,1) *
IF(OR(ISNUMBER(SEARCH("Melee",$L177)),ISNUMBER(SEARCH("Bypass",$L177))),1.5,1)</f>
        <v>0</v>
      </c>
      <c r="AF177" s="17" cm="1">
        <f t="array" ref="AF177">$H177 *
IF(ISNUMBER(SEARCH("Rapid",$L177)),7/6,1) *
IF(OR(ISNUMBER(SEARCH("Beam",$L177)),ISNUMBER(SEARCH("Firestorm",$L177))),1, IF(ISNUMBER(SEARCH("Blast",$L177)),(4+$F177+(2-$F177)*0.5)/6*2,(4+$F177)/6)) *
IF(ISNUMBER(SEARCH("Fusion",$L177)), _xlfn.IFS(AF$24-$I177 &lt;=1, 9/10, AF$24-$I177 &lt;=10,(11-(AF$24-$I177))/10, AF$24-$I177 &gt;=11, 0),
_xlfn.IFS(AF$24-$I177 &lt;=1, 5/6, AF$24-$I177 &lt;=5, (7-(AF$24-$I177))/6, AND(AF$24-$I177 =6,NOT(_xlfn.IFNA(ISNUMBER(SEARCH("Rending",$L177)),FALSE))), (7-(AF$24-$I177))/6, AND(AF$24-$I177 &gt;=7,NOT(_xlfn.IFNA(ISNUMBER(SEARCH("Rending",$L177)),FALSE))), 0, AF$24-$I177 =7, (7-(AF$24-1-$I177))/6, AF$24-$I177 =8, (7-(AF$24-2-$I177))/6*2/3, AF$24-$I177 =9, (7-(AF$24-3-$I177))/6*1/3, TRUE, 0)) *
IF(ISNUMBER(SEARCH("Ordinance",$L177)),7/6,1) *
IF(OR(ISNUMBER(SEARCH("Melee",$L177)),ISNUMBER(SEARCH("Bypass",$L177))),1.5,1)</f>
        <v>0</v>
      </c>
      <c r="AG177" s="16">
        <f t="shared" si="35"/>
        <v>0.66666666666666663</v>
      </c>
      <c r="AH177" s="16">
        <f t="shared" si="36"/>
        <v>1</v>
      </c>
      <c r="AI177" s="17" cm="1">
        <f t="array" ref="AI177">$H177 *
IF(ISNUMBER(SEARCH("Rapid",$L177)),7/6,1) *
IF(OR(ISNUMBER(SEARCH("Beam",$L177)),ISNUMBER(SEARCH("Firestorm",$L177))),1, IF(ISNUMBER(SEARCH("Blast",$L177)),(4+$G177+(2-$G177)*0.5)/6*2,(4+$G177)/6)) *
_xlfn.IFS(AI$24-$I177 &lt;=1, 5/6, AI$24-$I177 &lt;=5, (7-(AI$24-$I177))/6, AND(AI$24-$I177 =6,NOT(_xlfn.IFNA(ISNUMBER(SEARCH("Rending",$L177)),FALSE))), (7-(AI$24-$I177))/6, AND(AI$24-$I177 &gt;=7,NOT(_xlfn.IFNA(ISNUMBER(SEARCH("Rending",$L177)),FALSE))), 0, AI$24-$I177 =7, (7-(AI$24-1-$I177))/6, AI$24-$I177 =8, (7-(AI$24-2-$I177))/6*2/3, AI$24-$I177 =9, (7-(AI$24-3-$I177))/6*1/3, TRUE, 0) *
IF(ISNUMBER(SEARCH("Ordinance",$L177)),7/6,1) *
IF(OR(ISNUMBER(SEARCH("Melee",$L177)),ISNUMBER(SEARCH("Bypass",$L177))),1.5,1)</f>
        <v>1.6666666666666667</v>
      </c>
      <c r="AJ177" s="17" cm="1">
        <f t="array" ref="AJ177">$H177 *
IF(ISNUMBER(SEARCH("Rapid",$L177)),7/6,1) *
IF(OR(ISNUMBER(SEARCH("Beam",$L177)),ISNUMBER(SEARCH("Firestorm",$L177))),1, IF(ISNUMBER(SEARCH("Blast",$L177)),(4+$G177+(2-$G177)*0.5)/6*2,(4+$G177)/6)) *
_xlfn.IFS(AJ$24-$I177 &lt;=1, 5/6, AJ$24-$I177 &lt;=5, (7-(AJ$24-$I177))/6, AND(AJ$24-$I177 =6,NOT(_xlfn.IFNA(ISNUMBER(SEARCH("Rending",$L177)),FALSE))), (7-(AJ$24-$I177))/6, AND(AJ$24-$I177 &gt;=7,NOT(_xlfn.IFNA(ISNUMBER(SEARCH("Rending",$L177)),FALSE))), 0, AJ$24-$I177 =7, (7-(AJ$24-1-$I177))/6, AJ$24-$I177 =8, (7-(AJ$24-2-$I177))/6*2/3, AJ$24-$I177 =9, (7-(AJ$24-3-$I177))/6*1/3, TRUE, 0) *
IF(ISNUMBER(SEARCH("Ordinance",$L177)),7/6,1) *
IF(OR(ISNUMBER(SEARCH("Melee",$L177)),ISNUMBER(SEARCH("Bypass",$L177))),1.5,1)</f>
        <v>1.3333333333333333</v>
      </c>
      <c r="AK177" s="17" cm="1">
        <f t="array" ref="AK177">$H177 *
IF(ISNUMBER(SEARCH("Rapid",$L177)),7/6,1) *
IF(OR(ISNUMBER(SEARCH("Beam",$L177)),ISNUMBER(SEARCH("Firestorm",$L177))),1, IF(ISNUMBER(SEARCH("Blast",$L177)),(4+$G177+(2-$G177)*0.5)/6*2,(4+$G177)/6)) *
_xlfn.IFS(AK$24-$I177 &lt;=1, 5/6, AK$24-$I177 &lt;=5, (7-(AK$24-$I177))/6, AND(AK$24-$I177 =6,NOT(_xlfn.IFNA(ISNUMBER(SEARCH("Rending",$L177)),FALSE))), (7-(AK$24-$I177))/6, AND(AK$24-$I177 &gt;=7,NOT(_xlfn.IFNA(ISNUMBER(SEARCH("Rending",$L177)),FALSE))), 0, AK$24-$I177 =7, (7-(AK$24-1-$I177))/6, AK$24-$I177 =8, (7-(AK$24-2-$I177))/6*2/3, AK$24-$I177 =9, (7-(AK$24-3-$I177))/6*1/3, TRUE, 0) *
IF(ISNUMBER(SEARCH("Ordinance",$L177)),7/6,1) *
IF(OR(ISNUMBER(SEARCH("Melee",$L177)),ISNUMBER(SEARCH("Bypass",$L177))),1.5,1)</f>
        <v>1</v>
      </c>
      <c r="AL177" s="17" cm="1">
        <f t="array" ref="AL177">$H177 *
IF(ISNUMBER(SEARCH("Rapid",$L177)),7/6,1) *
IF(OR(ISNUMBER(SEARCH("Beam",$L177)),ISNUMBER(SEARCH("Firestorm",$L177))),1, IF(ISNUMBER(SEARCH("Blast",$L177)),(4+$G177+(2-$G177)*0.5)/6*2,(4+$G177)/6)) *
_xlfn.IFS(AL$24-$I177 &lt;=1, 5/6, AL$24-$I177 &lt;=5, (7-(AL$24-$I177))/6, AND(AL$24-$I177 =6,NOT(_xlfn.IFNA(ISNUMBER(SEARCH("Rending",$L177)),FALSE))), (7-(AL$24-$I177))/6, AND(AL$24-$I177 &gt;=7,NOT(_xlfn.IFNA(ISNUMBER(SEARCH("Rending",$L177)),FALSE))), 0, AL$24-$I177 =7, (7-(AL$24-1-$I177))/6, AL$24-$I177 =8, (7-(AL$24-2-$I177))/6*2/3, AL$24-$I177 =9, (7-(AL$24-3-$I177))/6*1/3, TRUE, 0) *
IF(ISNUMBER(SEARCH("Ordinance",$L177)),7/6,1) *
IF(OR(ISNUMBER(SEARCH("Melee",$L177)),ISNUMBER(SEARCH("Bypass",$L177))),1.5,1)</f>
        <v>0.66666666666666663</v>
      </c>
      <c r="AM177" s="17" cm="1">
        <f t="array" ref="AM177">$H177 *
IF(ISNUMBER(SEARCH("Rapid",$L177)),7/6,1) *
IF(OR(ISNUMBER(SEARCH("Beam",$L177)),ISNUMBER(SEARCH("Firestorm",$L177))),1, IF(ISNUMBER(SEARCH("Blast",$L177)),(4+$G177+(2-$G177)*0.5)/6*2,(4+$G177)/6)) *
_xlfn.IFS(AM$24-$I177 &lt;=1, 5/6, AM$24-$I177 &lt;=5, (7-(AM$24-$I177))/6, AND(AM$24-$I177 =6,NOT(_xlfn.IFNA(ISNUMBER(SEARCH("Rending",$L177)),FALSE))), (7-(AM$24-$I177))/6, AND(AM$24-$I177 &gt;=7,NOT(_xlfn.IFNA(ISNUMBER(SEARCH("Rending",$L177)),FALSE))), 0, AM$24-$I177 =7, (7-(AM$24-1-$I177))/6, AM$24-$I177 =8, (7-(AM$24-2-$I177))/6*2/3, AM$24-$I177 =9, (7-(AM$24-3-$I177))/6*1/3, TRUE, 0) *
IF(ISNUMBER(SEARCH("Ordinance",$L177)),7/6,1) *
IF(OR(ISNUMBER(SEARCH("Melee",$L177)),ISNUMBER(SEARCH("Bypass",$L177))),1.5,1)</f>
        <v>0.33333333333333331</v>
      </c>
      <c r="AN177" s="17" cm="1">
        <f t="array" ref="AN177">$H177 *
IF(ISNUMBER(SEARCH("Rapid",$L177)),7/6,1) *
IF(OR(ISNUMBER(SEARCH("Beam",$L177)),ISNUMBER(SEARCH("Firestorm",$L177))),1, IF(ISNUMBER(SEARCH("Blast",$L177)),(4+$G177+(2-$G177)*0.5)/6*2,(4+$G177)/6)) *
_xlfn.IFS(AN$24-$I177 &lt;=1, 5/6, AN$24-$I177 &lt;=5, (7-(AN$24-$I177))/6, AND(AN$24-$I177 =6,NOT(_xlfn.IFNA(ISNUMBER(SEARCH("Rending",$L177)),FALSE))), (7-(AN$24-$I177))/6, AND(AN$24-$I177 &gt;=7,NOT(_xlfn.IFNA(ISNUMBER(SEARCH("Rending",$L177)),FALSE))), 0, AN$24-$I177 =7, (7-(AN$24-1-$I177))/6, AN$24-$I177 =8, (7-(AN$24-2-$I177))/6*2/3, AN$24-$I177 =9, (7-(AN$24-3-$I177))/6*1/3, TRUE, 0) *
IF(ISNUMBER(SEARCH("Ordinance",$L177)),7/6,1) *
IF(OR(ISNUMBER(SEARCH("Melee",$L177)),ISNUMBER(SEARCH("Bypass",$L177))),1.5,1)</f>
        <v>0</v>
      </c>
      <c r="AO177" s="17" cm="1">
        <f t="array" ref="AO177">$H177 *
IF(ISNUMBER(SEARCH("Rapid",$L177)),7/6,1) *
IF(OR(ISNUMBER(SEARCH("Beam",$L177)),ISNUMBER(SEARCH("Firestorm",$L177))),1, IF(ISNUMBER(SEARCH("Blast",$L177)),(4+$G177+(2-$G177)*0.5)/6*2,(4+$G177)/6)) *
_xlfn.IFS(AO$24-$I177 &lt;=1, 5/6, AO$24-$I177 &lt;=5, (7-(AO$24-$I177))/6, AND(AO$24-$I177 =6,NOT(_xlfn.IFNA(ISNUMBER(SEARCH("Rending",$L177)),FALSE))), (7-(AO$24-$I177))/6, AND(AO$24-$I177 &gt;=7,NOT(_xlfn.IFNA(ISNUMBER(SEARCH("Rending",$L177)),FALSE))), 0, AO$24-$I177 =7, (7-(AO$24-1-$I177))/6, AO$24-$I177 =8, (7-(AO$24-2-$I177))/6*2/3, AO$24-$I177 =9, (7-(AO$24-3-$I177))/6*1/3, TRUE, 0) *
IF(ISNUMBER(SEARCH("Ordinance",$L177)),7/6,1) *
IF(OR(ISNUMBER(SEARCH("Melee",$L177)),ISNUMBER(SEARCH("Bypass",$L177))),1.5,1)</f>
        <v>0</v>
      </c>
      <c r="AP177" s="17" cm="1">
        <f t="array" ref="AP177">$H177 *
IF(ISNUMBER(SEARCH("Rapid",$L177)),7/6,1) *
IF(OR(ISNUMBER(SEARCH("Beam",$L177)),ISNUMBER(SEARCH("Firestorm",$L177))),1, IF(ISNUMBER(SEARCH("Blast",$L177)),(4+$G177+(2-$G177)*0.5)/6*2,(4+$G177)/6)) *
_xlfn.IFS(AP$24-$I177 &lt;=1, 5/6, AP$24-$I177 &lt;=5, (7-(AP$24-$I177))/6, AND(AP$24-$I177 =6,NOT(_xlfn.IFNA(ISNUMBER(SEARCH("Rending",$L177)),FALSE))), (7-(AP$24-$I177))/6, AND(AP$24-$I177 &gt;=7,NOT(_xlfn.IFNA(ISNUMBER(SEARCH("Rending",$L177)),FALSE))), 0, AP$24-$I177 =7, (7-(AP$24-1-$I177))/6, AP$24-$I177 =8, (7-(AP$24-2-$I177))/6*2/3, AP$24-$I177 =9, (7-(AP$24-3-$I177))/6*1/3, TRUE, 0) *
IF(ISNUMBER(SEARCH("Ordinance",$L177)),7/6,1) *
IF(OR(ISNUMBER(SEARCH("Melee",$L177)),ISNUMBER(SEARCH("Bypass",$L177))),1.5,1)</f>
        <v>0</v>
      </c>
      <c r="AQ177" s="17" cm="1">
        <f t="array" ref="AQ177">$H177 *
IF(ISNUMBER(SEARCH("Rapid",$L177)),7/6,1) *
IF(OR(ISNUMBER(SEARCH("Beam",$L177)),ISNUMBER(SEARCH("Firestorm",$L177))),1, IF(ISNUMBER(SEARCH("Blast",$L177)),(4+$G177+(2-$G177)*0.5)/6*2,(4+$G177)/6)) *
_xlfn.IFS(AQ$24-$I177 &lt;=1, 5/6, AQ$24-$I177 &lt;=5, (7-(AQ$24-$I177))/6, AND(AQ$24-$I177 =6,NOT(_xlfn.IFNA(ISNUMBER(SEARCH("Rending",$L177)),FALSE))), (7-(AQ$24-$I177))/6, AND(AQ$24-$I177 &gt;=7,NOT(_xlfn.IFNA(ISNUMBER(SEARCH("Rending",$L177)),FALSE))), 0, AQ$24-$I177 =7, (7-(AQ$24-1-$I177))/6, AQ$24-$I177 =8, (7-(AQ$24-2-$I177))/6*2/3, AQ$24-$I177 =9, (7-(AQ$24-3-$I177))/6*1/3, TRUE, 0) *
IF(ISNUMBER(SEARCH("Ordinance",$L177)),7/6,1) *
IF(OR(ISNUMBER(SEARCH("Melee",$L177)),ISNUMBER(SEARCH("Bypass",$L177))),1.5,1)</f>
        <v>0</v>
      </c>
      <c r="AS177" s="16">
        <f t="shared" si="41"/>
        <v>0.24444444444444446</v>
      </c>
      <c r="AT177" s="16">
        <f t="shared" si="42"/>
        <v>0.3666666666666667</v>
      </c>
      <c r="AU177" s="16">
        <f t="shared" si="43"/>
        <v>0.3888888888888889</v>
      </c>
      <c r="AV177" s="2">
        <v>10</v>
      </c>
    </row>
    <row r="178" spans="1:48" x14ac:dyDescent="0.3">
      <c r="A178" t="s">
        <v>618</v>
      </c>
      <c r="B178" s="3">
        <v>4</v>
      </c>
      <c r="C178" s="3">
        <v>12</v>
      </c>
      <c r="D178" s="3">
        <v>1</v>
      </c>
      <c r="E178" s="3">
        <v>1</v>
      </c>
      <c r="F178" s="10"/>
      <c r="G178" s="10"/>
      <c r="H178" s="3">
        <v>2</v>
      </c>
      <c r="I178" s="3">
        <v>6</v>
      </c>
      <c r="K178" s="3">
        <v>10</v>
      </c>
      <c r="L178" s="3" t="s">
        <v>480</v>
      </c>
      <c r="M178" s="3" t="s">
        <v>225</v>
      </c>
      <c r="V178" s="16">
        <f t="shared" si="33"/>
        <v>0.51851851851851849</v>
      </c>
      <c r="W178" s="16">
        <f t="shared" si="34"/>
        <v>0.77777777777777779</v>
      </c>
      <c r="X178" s="17" cm="1">
        <f t="array" ref="X178">$H178 *
IF(ISNUMBER(SEARCH("Rapid",$L178)),7/6,1) *
IF(OR(ISNUMBER(SEARCH("Beam",$L178)),ISNUMBER(SEARCH("Firestorm",$L178))),1, IF(ISNUMBER(SEARCH("Blast",$L178)),(4+$F178+(2-$F178)*0.5)/6*2,(4+$F178)/6)) *
IF(ISNUMBER(SEARCH("Fusion",$L178)), _xlfn.IFS(X$24-$I178 &lt;=1, 9/10, X$24-$I178 &lt;=10,(11-(X$24-$I178))/10, X$24-$I178 &gt;=11, 0),
_xlfn.IFS(X$24-$I178 &lt;=1, 5/6, X$24-$I178 &lt;=5, (7-(X$24-$I178))/6, AND(X$24-$I178 =6,NOT(_xlfn.IFNA(ISNUMBER(SEARCH("Rending",$L178)),FALSE))), (7-(X$24-$I178))/6, AND(X$24-$I178 &gt;=7,NOT(_xlfn.IFNA(ISNUMBER(SEARCH("Rending",$L178)),FALSE))), 0, X$24-$I178 =7, (7-(X$24-1-$I178))/6, X$24-$I178 =8, (7-(X$24-2-$I178))/6*2/3, X$24-$I178 =9, (7-(X$24-3-$I178))/6*1/3, TRUE, 0)) *
IF(ISNUMBER(SEARCH("Ordinance",$L178)),7/6,1) *
IF(OR(ISNUMBER(SEARCH("Melee",$L178)),ISNUMBER(SEARCH("Bypass",$L178))),1.5,1)</f>
        <v>1.037037037037037</v>
      </c>
      <c r="Y178" s="17" cm="1">
        <f t="array" ref="Y178">$H178 *
IF(ISNUMBER(SEARCH("Rapid",$L178)),7/6,1) *
IF(OR(ISNUMBER(SEARCH("Beam",$L178)),ISNUMBER(SEARCH("Firestorm",$L178))),1, IF(ISNUMBER(SEARCH("Blast",$L178)),(4+$F178+(2-$F178)*0.5)/6*2,(4+$F178)/6)) *
IF(ISNUMBER(SEARCH("Fusion",$L178)), _xlfn.IFS(Y$24-$I178 &lt;=1, 9/10, Y$24-$I178 &lt;=10,(11-(Y$24-$I178))/10, Y$24-$I178 &gt;=11, 0),
_xlfn.IFS(Y$24-$I178 &lt;=1, 5/6, Y$24-$I178 &lt;=5, (7-(Y$24-$I178))/6, AND(Y$24-$I178 =6,NOT(_xlfn.IFNA(ISNUMBER(SEARCH("Rending",$L178)),FALSE))), (7-(Y$24-$I178))/6, AND(Y$24-$I178 &gt;=7,NOT(_xlfn.IFNA(ISNUMBER(SEARCH("Rending",$L178)),FALSE))), 0, Y$24-$I178 =7, (7-(Y$24-1-$I178))/6, Y$24-$I178 =8, (7-(Y$24-2-$I178))/6*2/3, Y$24-$I178 =9, (7-(Y$24-3-$I178))/6*1/3, TRUE, 0)) *
IF(ISNUMBER(SEARCH("Ordinance",$L178)),7/6,1) *
IF(OR(ISNUMBER(SEARCH("Melee",$L178)),ISNUMBER(SEARCH("Bypass",$L178))),1.5,1)</f>
        <v>0.77777777777777779</v>
      </c>
      <c r="Z178" s="17" cm="1">
        <f t="array" ref="Z178">$H178 *
IF(ISNUMBER(SEARCH("Rapid",$L178)),7/6,1) *
IF(OR(ISNUMBER(SEARCH("Beam",$L178)),ISNUMBER(SEARCH("Firestorm",$L178))),1, IF(ISNUMBER(SEARCH("Blast",$L178)),(4+$F178+(2-$F178)*0.5)/6*2,(4+$F178)/6)) *
IF(ISNUMBER(SEARCH("Fusion",$L178)), _xlfn.IFS(Z$24-$I178 &lt;=1, 9/10, Z$24-$I178 &lt;=10,(11-(Z$24-$I178))/10, Z$24-$I178 &gt;=11, 0),
_xlfn.IFS(Z$24-$I178 &lt;=1, 5/6, Z$24-$I178 &lt;=5, (7-(Z$24-$I178))/6, AND(Z$24-$I178 =6,NOT(_xlfn.IFNA(ISNUMBER(SEARCH("Rending",$L178)),FALSE))), (7-(Z$24-$I178))/6, AND(Z$24-$I178 &gt;=7,NOT(_xlfn.IFNA(ISNUMBER(SEARCH("Rending",$L178)),FALSE))), 0, Z$24-$I178 =7, (7-(Z$24-1-$I178))/6, Z$24-$I178 =8, (7-(Z$24-2-$I178))/6*2/3, Z$24-$I178 =9, (7-(Z$24-3-$I178))/6*1/3, TRUE, 0)) *
IF(ISNUMBER(SEARCH("Ordinance",$L178)),7/6,1) *
IF(OR(ISNUMBER(SEARCH("Melee",$L178)),ISNUMBER(SEARCH("Bypass",$L178))),1.5,1)</f>
        <v>0.51851851851851849</v>
      </c>
      <c r="AA178" s="17" cm="1">
        <f t="array" ref="AA178">$H178 *
IF(ISNUMBER(SEARCH("Rapid",$L178)),7/6,1) *
IF(OR(ISNUMBER(SEARCH("Beam",$L178)),ISNUMBER(SEARCH("Firestorm",$L178))),1, IF(ISNUMBER(SEARCH("Blast",$L178)),(4+$F178+(2-$F178)*0.5)/6*2,(4+$F178)/6)) *
IF(ISNUMBER(SEARCH("Fusion",$L178)), _xlfn.IFS(AA$24-$I178 &lt;=1, 9/10, AA$24-$I178 &lt;=10,(11-(AA$24-$I178))/10, AA$24-$I178 &gt;=11, 0),
_xlfn.IFS(AA$24-$I178 &lt;=1, 5/6, AA$24-$I178 &lt;=5, (7-(AA$24-$I178))/6, AND(AA$24-$I178 =6,NOT(_xlfn.IFNA(ISNUMBER(SEARCH("Rending",$L178)),FALSE))), (7-(AA$24-$I178))/6, AND(AA$24-$I178 &gt;=7,NOT(_xlfn.IFNA(ISNUMBER(SEARCH("Rending",$L178)),FALSE))), 0, AA$24-$I178 =7, (7-(AA$24-1-$I178))/6, AA$24-$I178 =8, (7-(AA$24-2-$I178))/6*2/3, AA$24-$I178 =9, (7-(AA$24-3-$I178))/6*1/3, TRUE, 0)) *
IF(ISNUMBER(SEARCH("Ordinance",$L178)),7/6,1) *
IF(OR(ISNUMBER(SEARCH("Melee",$L178)),ISNUMBER(SEARCH("Bypass",$L178))),1.5,1)</f>
        <v>0.25925925925925924</v>
      </c>
      <c r="AB178" s="17" cm="1">
        <f t="array" ref="AB178">$H178 *
IF(ISNUMBER(SEARCH("Rapid",$L178)),7/6,1) *
IF(OR(ISNUMBER(SEARCH("Beam",$L178)),ISNUMBER(SEARCH("Firestorm",$L178))),1, IF(ISNUMBER(SEARCH("Blast",$L178)),(4+$F178+(2-$F178)*0.5)/6*2,(4+$F178)/6)) *
IF(ISNUMBER(SEARCH("Fusion",$L178)), _xlfn.IFS(AB$24-$I178 &lt;=1, 9/10, AB$24-$I178 &lt;=10,(11-(AB$24-$I178))/10, AB$24-$I178 &gt;=11, 0),
_xlfn.IFS(AB$24-$I178 &lt;=1, 5/6, AB$24-$I178 &lt;=5, (7-(AB$24-$I178))/6, AND(AB$24-$I178 =6,NOT(_xlfn.IFNA(ISNUMBER(SEARCH("Rending",$L178)),FALSE))), (7-(AB$24-$I178))/6, AND(AB$24-$I178 &gt;=7,NOT(_xlfn.IFNA(ISNUMBER(SEARCH("Rending",$L178)),FALSE))), 0, AB$24-$I178 =7, (7-(AB$24-1-$I178))/6, AB$24-$I178 =8, (7-(AB$24-2-$I178))/6*2/3, AB$24-$I178 =9, (7-(AB$24-3-$I178))/6*1/3, TRUE, 0)) *
IF(ISNUMBER(SEARCH("Ordinance",$L178)),7/6,1) *
IF(OR(ISNUMBER(SEARCH("Melee",$L178)),ISNUMBER(SEARCH("Bypass",$L178))),1.5,1)</f>
        <v>0</v>
      </c>
      <c r="AC178" s="17" cm="1">
        <f t="array" ref="AC178">$H178 *
IF(ISNUMBER(SEARCH("Rapid",$L178)),7/6,1) *
IF(OR(ISNUMBER(SEARCH("Beam",$L178)),ISNUMBER(SEARCH("Firestorm",$L178))),1, IF(ISNUMBER(SEARCH("Blast",$L178)),(4+$F178+(2-$F178)*0.5)/6*2,(4+$F178)/6)) *
IF(ISNUMBER(SEARCH("Fusion",$L178)), _xlfn.IFS(AC$24-$I178 &lt;=1, 9/10, AC$24-$I178 &lt;=10,(11-(AC$24-$I178))/10, AC$24-$I178 &gt;=11, 0),
_xlfn.IFS(AC$24-$I178 &lt;=1, 5/6, AC$24-$I178 &lt;=5, (7-(AC$24-$I178))/6, AND(AC$24-$I178 =6,NOT(_xlfn.IFNA(ISNUMBER(SEARCH("Rending",$L178)),FALSE))), (7-(AC$24-$I178))/6, AND(AC$24-$I178 &gt;=7,NOT(_xlfn.IFNA(ISNUMBER(SEARCH("Rending",$L178)),FALSE))), 0, AC$24-$I178 =7, (7-(AC$24-1-$I178))/6, AC$24-$I178 =8, (7-(AC$24-2-$I178))/6*2/3, AC$24-$I178 =9, (7-(AC$24-3-$I178))/6*1/3, TRUE, 0)) *
IF(ISNUMBER(SEARCH("Ordinance",$L178)),7/6,1) *
IF(OR(ISNUMBER(SEARCH("Melee",$L178)),ISNUMBER(SEARCH("Bypass",$L178))),1.5,1)</f>
        <v>0</v>
      </c>
      <c r="AD178" s="17" cm="1">
        <f t="array" ref="AD178">$H178 *
IF(ISNUMBER(SEARCH("Rapid",$L178)),7/6,1) *
IF(OR(ISNUMBER(SEARCH("Beam",$L178)),ISNUMBER(SEARCH("Firestorm",$L178))),1, IF(ISNUMBER(SEARCH("Blast",$L178)),(4+$F178+(2-$F178)*0.5)/6*2,(4+$F178)/6)) *
IF(ISNUMBER(SEARCH("Fusion",$L178)), _xlfn.IFS(AD$24-$I178 &lt;=1, 9/10, AD$24-$I178 &lt;=10,(11-(AD$24-$I178))/10, AD$24-$I178 &gt;=11, 0),
_xlfn.IFS(AD$24-$I178 &lt;=1, 5/6, AD$24-$I178 &lt;=5, (7-(AD$24-$I178))/6, AND(AD$24-$I178 =6,NOT(_xlfn.IFNA(ISNUMBER(SEARCH("Rending",$L178)),FALSE))), (7-(AD$24-$I178))/6, AND(AD$24-$I178 &gt;=7,NOT(_xlfn.IFNA(ISNUMBER(SEARCH("Rending",$L178)),FALSE))), 0, AD$24-$I178 =7, (7-(AD$24-1-$I178))/6, AD$24-$I178 =8, (7-(AD$24-2-$I178))/6*2/3, AD$24-$I178 =9, (7-(AD$24-3-$I178))/6*1/3, TRUE, 0)) *
IF(ISNUMBER(SEARCH("Ordinance",$L178)),7/6,1) *
IF(OR(ISNUMBER(SEARCH("Melee",$L178)),ISNUMBER(SEARCH("Bypass",$L178))),1.5,1)</f>
        <v>0</v>
      </c>
      <c r="AE178" s="17" cm="1">
        <f t="array" ref="AE178">$H178 *
IF(ISNUMBER(SEARCH("Rapid",$L178)),7/6,1) *
IF(OR(ISNUMBER(SEARCH("Beam",$L178)),ISNUMBER(SEARCH("Firestorm",$L178))),1, IF(ISNUMBER(SEARCH("Blast",$L178)),(4+$F178+(2-$F178)*0.5)/6*2,(4+$F178)/6)) *
IF(ISNUMBER(SEARCH("Fusion",$L178)), _xlfn.IFS(AE$24-$I178 &lt;=1, 9/10, AE$24-$I178 &lt;=10,(11-(AE$24-$I178))/10, AE$24-$I178 &gt;=11, 0),
_xlfn.IFS(AE$24-$I178 &lt;=1, 5/6, AE$24-$I178 &lt;=5, (7-(AE$24-$I178))/6, AND(AE$24-$I178 =6,NOT(_xlfn.IFNA(ISNUMBER(SEARCH("Rending",$L178)),FALSE))), (7-(AE$24-$I178))/6, AND(AE$24-$I178 &gt;=7,NOT(_xlfn.IFNA(ISNUMBER(SEARCH("Rending",$L178)),FALSE))), 0, AE$24-$I178 =7, (7-(AE$24-1-$I178))/6, AE$24-$I178 =8, (7-(AE$24-2-$I178))/6*2/3, AE$24-$I178 =9, (7-(AE$24-3-$I178))/6*1/3, TRUE, 0)) *
IF(ISNUMBER(SEARCH("Ordinance",$L178)),7/6,1) *
IF(OR(ISNUMBER(SEARCH("Melee",$L178)),ISNUMBER(SEARCH("Bypass",$L178))),1.5,1)</f>
        <v>0</v>
      </c>
      <c r="AF178" s="17" cm="1">
        <f t="array" ref="AF178">$H178 *
IF(ISNUMBER(SEARCH("Rapid",$L178)),7/6,1) *
IF(OR(ISNUMBER(SEARCH("Beam",$L178)),ISNUMBER(SEARCH("Firestorm",$L178))),1, IF(ISNUMBER(SEARCH("Blast",$L178)),(4+$F178+(2-$F178)*0.5)/6*2,(4+$F178)/6)) *
IF(ISNUMBER(SEARCH("Fusion",$L178)), _xlfn.IFS(AF$24-$I178 &lt;=1, 9/10, AF$24-$I178 &lt;=10,(11-(AF$24-$I178))/10, AF$24-$I178 &gt;=11, 0),
_xlfn.IFS(AF$24-$I178 &lt;=1, 5/6, AF$24-$I178 &lt;=5, (7-(AF$24-$I178))/6, AND(AF$24-$I178 =6,NOT(_xlfn.IFNA(ISNUMBER(SEARCH("Rending",$L178)),FALSE))), (7-(AF$24-$I178))/6, AND(AF$24-$I178 &gt;=7,NOT(_xlfn.IFNA(ISNUMBER(SEARCH("Rending",$L178)),FALSE))), 0, AF$24-$I178 =7, (7-(AF$24-1-$I178))/6, AF$24-$I178 =8, (7-(AF$24-2-$I178))/6*2/3, AF$24-$I178 =9, (7-(AF$24-3-$I178))/6*1/3, TRUE, 0)) *
IF(ISNUMBER(SEARCH("Ordinance",$L178)),7/6,1) *
IF(OR(ISNUMBER(SEARCH("Melee",$L178)),ISNUMBER(SEARCH("Bypass",$L178))),1.5,1)</f>
        <v>0</v>
      </c>
      <c r="AG178" s="16">
        <f t="shared" si="35"/>
        <v>0.51851851851851849</v>
      </c>
      <c r="AH178" s="16">
        <f t="shared" si="36"/>
        <v>0.77777777777777779</v>
      </c>
      <c r="AI178" s="17" cm="1">
        <f t="array" ref="AI178">$H178 *
IF(ISNUMBER(SEARCH("Rapid",$L178)),7/6,1) *
IF(OR(ISNUMBER(SEARCH("Beam",$L178)),ISNUMBER(SEARCH("Firestorm",$L178))),1, IF(ISNUMBER(SEARCH("Blast",$L178)),(4+$G178+(2-$G178)*0.5)/6*2,(4+$G178)/6)) *
_xlfn.IFS(AI$24-$I178 &lt;=1, 5/6, AI$24-$I178 &lt;=5, (7-(AI$24-$I178))/6, AND(AI$24-$I178 =6,NOT(_xlfn.IFNA(ISNUMBER(SEARCH("Rending",$L178)),FALSE))), (7-(AI$24-$I178))/6, AND(AI$24-$I178 &gt;=7,NOT(_xlfn.IFNA(ISNUMBER(SEARCH("Rending",$L178)),FALSE))), 0, AI$24-$I178 =7, (7-(AI$24-1-$I178))/6, AI$24-$I178 =8, (7-(AI$24-2-$I178))/6*2/3, AI$24-$I178 =9, (7-(AI$24-3-$I178))/6*1/3, TRUE, 0) *
IF(ISNUMBER(SEARCH("Ordinance",$L178)),7/6,1) *
IF(OR(ISNUMBER(SEARCH("Melee",$L178)),ISNUMBER(SEARCH("Bypass",$L178))),1.5,1)</f>
        <v>1.037037037037037</v>
      </c>
      <c r="AJ178" s="17" cm="1">
        <f t="array" ref="AJ178">$H178 *
IF(ISNUMBER(SEARCH("Rapid",$L178)),7/6,1) *
IF(OR(ISNUMBER(SEARCH("Beam",$L178)),ISNUMBER(SEARCH("Firestorm",$L178))),1, IF(ISNUMBER(SEARCH("Blast",$L178)),(4+$G178+(2-$G178)*0.5)/6*2,(4+$G178)/6)) *
_xlfn.IFS(AJ$24-$I178 &lt;=1, 5/6, AJ$24-$I178 &lt;=5, (7-(AJ$24-$I178))/6, AND(AJ$24-$I178 =6,NOT(_xlfn.IFNA(ISNUMBER(SEARCH("Rending",$L178)),FALSE))), (7-(AJ$24-$I178))/6, AND(AJ$24-$I178 &gt;=7,NOT(_xlfn.IFNA(ISNUMBER(SEARCH("Rending",$L178)),FALSE))), 0, AJ$24-$I178 =7, (7-(AJ$24-1-$I178))/6, AJ$24-$I178 =8, (7-(AJ$24-2-$I178))/6*2/3, AJ$24-$I178 =9, (7-(AJ$24-3-$I178))/6*1/3, TRUE, 0) *
IF(ISNUMBER(SEARCH("Ordinance",$L178)),7/6,1) *
IF(OR(ISNUMBER(SEARCH("Melee",$L178)),ISNUMBER(SEARCH("Bypass",$L178))),1.5,1)</f>
        <v>0.77777777777777779</v>
      </c>
      <c r="AK178" s="17" cm="1">
        <f t="array" ref="AK178">$H178 *
IF(ISNUMBER(SEARCH("Rapid",$L178)),7/6,1) *
IF(OR(ISNUMBER(SEARCH("Beam",$L178)),ISNUMBER(SEARCH("Firestorm",$L178))),1, IF(ISNUMBER(SEARCH("Blast",$L178)),(4+$G178+(2-$G178)*0.5)/6*2,(4+$G178)/6)) *
_xlfn.IFS(AK$24-$I178 &lt;=1, 5/6, AK$24-$I178 &lt;=5, (7-(AK$24-$I178))/6, AND(AK$24-$I178 =6,NOT(_xlfn.IFNA(ISNUMBER(SEARCH("Rending",$L178)),FALSE))), (7-(AK$24-$I178))/6, AND(AK$24-$I178 &gt;=7,NOT(_xlfn.IFNA(ISNUMBER(SEARCH("Rending",$L178)),FALSE))), 0, AK$24-$I178 =7, (7-(AK$24-1-$I178))/6, AK$24-$I178 =8, (7-(AK$24-2-$I178))/6*2/3, AK$24-$I178 =9, (7-(AK$24-3-$I178))/6*1/3, TRUE, 0) *
IF(ISNUMBER(SEARCH("Ordinance",$L178)),7/6,1) *
IF(OR(ISNUMBER(SEARCH("Melee",$L178)),ISNUMBER(SEARCH("Bypass",$L178))),1.5,1)</f>
        <v>0.51851851851851849</v>
      </c>
      <c r="AL178" s="17" cm="1">
        <f t="array" ref="AL178">$H178 *
IF(ISNUMBER(SEARCH("Rapid",$L178)),7/6,1) *
IF(OR(ISNUMBER(SEARCH("Beam",$L178)),ISNUMBER(SEARCH("Firestorm",$L178))),1, IF(ISNUMBER(SEARCH("Blast",$L178)),(4+$G178+(2-$G178)*0.5)/6*2,(4+$G178)/6)) *
_xlfn.IFS(AL$24-$I178 &lt;=1, 5/6, AL$24-$I178 &lt;=5, (7-(AL$24-$I178))/6, AND(AL$24-$I178 =6,NOT(_xlfn.IFNA(ISNUMBER(SEARCH("Rending",$L178)),FALSE))), (7-(AL$24-$I178))/6, AND(AL$24-$I178 &gt;=7,NOT(_xlfn.IFNA(ISNUMBER(SEARCH("Rending",$L178)),FALSE))), 0, AL$24-$I178 =7, (7-(AL$24-1-$I178))/6, AL$24-$I178 =8, (7-(AL$24-2-$I178))/6*2/3, AL$24-$I178 =9, (7-(AL$24-3-$I178))/6*1/3, TRUE, 0) *
IF(ISNUMBER(SEARCH("Ordinance",$L178)),7/6,1) *
IF(OR(ISNUMBER(SEARCH("Melee",$L178)),ISNUMBER(SEARCH("Bypass",$L178))),1.5,1)</f>
        <v>0.25925925925925924</v>
      </c>
      <c r="AM178" s="17" cm="1">
        <f t="array" ref="AM178">$H178 *
IF(ISNUMBER(SEARCH("Rapid",$L178)),7/6,1) *
IF(OR(ISNUMBER(SEARCH("Beam",$L178)),ISNUMBER(SEARCH("Firestorm",$L178))),1, IF(ISNUMBER(SEARCH("Blast",$L178)),(4+$G178+(2-$G178)*0.5)/6*2,(4+$G178)/6)) *
_xlfn.IFS(AM$24-$I178 &lt;=1, 5/6, AM$24-$I178 &lt;=5, (7-(AM$24-$I178))/6, AND(AM$24-$I178 =6,NOT(_xlfn.IFNA(ISNUMBER(SEARCH("Rending",$L178)),FALSE))), (7-(AM$24-$I178))/6, AND(AM$24-$I178 &gt;=7,NOT(_xlfn.IFNA(ISNUMBER(SEARCH("Rending",$L178)),FALSE))), 0, AM$24-$I178 =7, (7-(AM$24-1-$I178))/6, AM$24-$I178 =8, (7-(AM$24-2-$I178))/6*2/3, AM$24-$I178 =9, (7-(AM$24-3-$I178))/6*1/3, TRUE, 0) *
IF(ISNUMBER(SEARCH("Ordinance",$L178)),7/6,1) *
IF(OR(ISNUMBER(SEARCH("Melee",$L178)),ISNUMBER(SEARCH("Bypass",$L178))),1.5,1)</f>
        <v>0</v>
      </c>
      <c r="AN178" s="17" cm="1">
        <f t="array" ref="AN178">$H178 *
IF(ISNUMBER(SEARCH("Rapid",$L178)),7/6,1) *
IF(OR(ISNUMBER(SEARCH("Beam",$L178)),ISNUMBER(SEARCH("Firestorm",$L178))),1, IF(ISNUMBER(SEARCH("Blast",$L178)),(4+$G178+(2-$G178)*0.5)/6*2,(4+$G178)/6)) *
_xlfn.IFS(AN$24-$I178 &lt;=1, 5/6, AN$24-$I178 &lt;=5, (7-(AN$24-$I178))/6, AND(AN$24-$I178 =6,NOT(_xlfn.IFNA(ISNUMBER(SEARCH("Rending",$L178)),FALSE))), (7-(AN$24-$I178))/6, AND(AN$24-$I178 &gt;=7,NOT(_xlfn.IFNA(ISNUMBER(SEARCH("Rending",$L178)),FALSE))), 0, AN$24-$I178 =7, (7-(AN$24-1-$I178))/6, AN$24-$I178 =8, (7-(AN$24-2-$I178))/6*2/3, AN$24-$I178 =9, (7-(AN$24-3-$I178))/6*1/3, TRUE, 0) *
IF(ISNUMBER(SEARCH("Ordinance",$L178)),7/6,1) *
IF(OR(ISNUMBER(SEARCH("Melee",$L178)),ISNUMBER(SEARCH("Bypass",$L178))),1.5,1)</f>
        <v>0</v>
      </c>
      <c r="AO178" s="17" cm="1">
        <f t="array" ref="AO178">$H178 *
IF(ISNUMBER(SEARCH("Rapid",$L178)),7/6,1) *
IF(OR(ISNUMBER(SEARCH("Beam",$L178)),ISNUMBER(SEARCH("Firestorm",$L178))),1, IF(ISNUMBER(SEARCH("Blast",$L178)),(4+$G178+(2-$G178)*0.5)/6*2,(4+$G178)/6)) *
_xlfn.IFS(AO$24-$I178 &lt;=1, 5/6, AO$24-$I178 &lt;=5, (7-(AO$24-$I178))/6, AND(AO$24-$I178 =6,NOT(_xlfn.IFNA(ISNUMBER(SEARCH("Rending",$L178)),FALSE))), (7-(AO$24-$I178))/6, AND(AO$24-$I178 &gt;=7,NOT(_xlfn.IFNA(ISNUMBER(SEARCH("Rending",$L178)),FALSE))), 0, AO$24-$I178 =7, (7-(AO$24-1-$I178))/6, AO$24-$I178 =8, (7-(AO$24-2-$I178))/6*2/3, AO$24-$I178 =9, (7-(AO$24-3-$I178))/6*1/3, TRUE, 0) *
IF(ISNUMBER(SEARCH("Ordinance",$L178)),7/6,1) *
IF(OR(ISNUMBER(SEARCH("Melee",$L178)),ISNUMBER(SEARCH("Bypass",$L178))),1.5,1)</f>
        <v>0</v>
      </c>
      <c r="AP178" s="17" cm="1">
        <f t="array" ref="AP178">$H178 *
IF(ISNUMBER(SEARCH("Rapid",$L178)),7/6,1) *
IF(OR(ISNUMBER(SEARCH("Beam",$L178)),ISNUMBER(SEARCH("Firestorm",$L178))),1, IF(ISNUMBER(SEARCH("Blast",$L178)),(4+$G178+(2-$G178)*0.5)/6*2,(4+$G178)/6)) *
_xlfn.IFS(AP$24-$I178 &lt;=1, 5/6, AP$24-$I178 &lt;=5, (7-(AP$24-$I178))/6, AND(AP$24-$I178 =6,NOT(_xlfn.IFNA(ISNUMBER(SEARCH("Rending",$L178)),FALSE))), (7-(AP$24-$I178))/6, AND(AP$24-$I178 &gt;=7,NOT(_xlfn.IFNA(ISNUMBER(SEARCH("Rending",$L178)),FALSE))), 0, AP$24-$I178 =7, (7-(AP$24-1-$I178))/6, AP$24-$I178 =8, (7-(AP$24-2-$I178))/6*2/3, AP$24-$I178 =9, (7-(AP$24-3-$I178))/6*1/3, TRUE, 0) *
IF(ISNUMBER(SEARCH("Ordinance",$L178)),7/6,1) *
IF(OR(ISNUMBER(SEARCH("Melee",$L178)),ISNUMBER(SEARCH("Bypass",$L178))),1.5,1)</f>
        <v>0</v>
      </c>
      <c r="AQ178" s="17" cm="1">
        <f t="array" ref="AQ178">$H178 *
IF(ISNUMBER(SEARCH("Rapid",$L178)),7/6,1) *
IF(OR(ISNUMBER(SEARCH("Beam",$L178)),ISNUMBER(SEARCH("Firestorm",$L178))),1, IF(ISNUMBER(SEARCH("Blast",$L178)),(4+$G178+(2-$G178)*0.5)/6*2,(4+$G178)/6)) *
_xlfn.IFS(AQ$24-$I178 &lt;=1, 5/6, AQ$24-$I178 &lt;=5, (7-(AQ$24-$I178))/6, AND(AQ$24-$I178 =6,NOT(_xlfn.IFNA(ISNUMBER(SEARCH("Rending",$L178)),FALSE))), (7-(AQ$24-$I178))/6, AND(AQ$24-$I178 &gt;=7,NOT(_xlfn.IFNA(ISNUMBER(SEARCH("Rending",$L178)),FALSE))), 0, AQ$24-$I178 =7, (7-(AQ$24-1-$I178))/6, AQ$24-$I178 =8, (7-(AQ$24-2-$I178))/6*2/3, AQ$24-$I178 =9, (7-(AQ$24-3-$I178))/6*1/3, TRUE, 0) *
IF(ISNUMBER(SEARCH("Ordinance",$L178)),7/6,1) *
IF(OR(ISNUMBER(SEARCH("Melee",$L178)),ISNUMBER(SEARCH("Bypass",$L178))),1.5,1)</f>
        <v>0</v>
      </c>
      <c r="AS178" s="16">
        <f t="shared" si="41"/>
        <v>0.51851851851851849</v>
      </c>
      <c r="AT178" s="16">
        <f t="shared" si="42"/>
        <v>0.77777777777777779</v>
      </c>
      <c r="AU178" s="16">
        <f t="shared" si="43"/>
        <v>0.53580246913580243</v>
      </c>
      <c r="AV178" s="2">
        <v>10</v>
      </c>
    </row>
    <row r="179" spans="1:48" x14ac:dyDescent="0.3">
      <c r="A179" t="s">
        <v>619</v>
      </c>
      <c r="B179" s="3">
        <v>2</v>
      </c>
      <c r="F179" s="10">
        <v>2</v>
      </c>
      <c r="G179" s="10"/>
      <c r="H179" s="3">
        <v>2</v>
      </c>
      <c r="I179" s="3">
        <v>8</v>
      </c>
      <c r="K179" s="3">
        <v>10</v>
      </c>
      <c r="L179" s="3" t="s">
        <v>415</v>
      </c>
      <c r="M179" s="3" t="s">
        <v>225</v>
      </c>
      <c r="V179" s="16">
        <f t="shared" si="33"/>
        <v>0</v>
      </c>
      <c r="W179" s="16">
        <f t="shared" si="34"/>
        <v>0</v>
      </c>
      <c r="X179" s="17" cm="1">
        <f t="array" ref="X179">$H179 *
IF(ISNUMBER(SEARCH("Rapid",$L179)),7/6,1) *
IF(OR(ISNUMBER(SEARCH("Beam",$L179)),ISNUMBER(SEARCH("Firestorm",$L179))),1, IF(ISNUMBER(SEARCH("Blast",$L179)),(4+$F179+(2-$F179)*0.5)/6*2,(4+$F179)/6)) *
IF(ISNUMBER(SEARCH("Fusion",$L179)), _xlfn.IFS(X$24-$I179 &lt;=1, 9/10, X$24-$I179 &lt;=10,(11-(X$24-$I179))/10, X$24-$I179 &gt;=11, 0),
_xlfn.IFS(X$24-$I179 &lt;=1, 5/6, X$24-$I179 &lt;=5, (7-(X$24-$I179))/6, AND(X$24-$I179 =6,NOT(_xlfn.IFNA(ISNUMBER(SEARCH("Rending",$L179)),FALSE))), (7-(X$24-$I179))/6, AND(X$24-$I179 &gt;=7,NOT(_xlfn.IFNA(ISNUMBER(SEARCH("Rending",$L179)),FALSE))), 0, X$24-$I179 =7, (7-(X$24-1-$I179))/6, X$24-$I179 =8, (7-(X$24-2-$I179))/6*2/3, X$24-$I179 =9, (7-(X$24-3-$I179))/6*1/3, TRUE, 0)) *
IF(ISNUMBER(SEARCH("Ordinance",$L179)),7/6,1) *
IF(OR(ISNUMBER(SEARCH("Melee",$L179)),ISNUMBER(SEARCH("Bypass",$L179))),1.5,1)</f>
        <v>2.5</v>
      </c>
      <c r="Y179" s="17" cm="1">
        <f t="array" ref="Y179">$H179 *
IF(ISNUMBER(SEARCH("Rapid",$L179)),7/6,1) *
IF(OR(ISNUMBER(SEARCH("Beam",$L179)),ISNUMBER(SEARCH("Firestorm",$L179))),1, IF(ISNUMBER(SEARCH("Blast",$L179)),(4+$F179+(2-$F179)*0.5)/6*2,(4+$F179)/6)) *
IF(ISNUMBER(SEARCH("Fusion",$L179)), _xlfn.IFS(Y$24-$I179 &lt;=1, 9/10, Y$24-$I179 &lt;=10,(11-(Y$24-$I179))/10, Y$24-$I179 &gt;=11, 0),
_xlfn.IFS(Y$24-$I179 &lt;=1, 5/6, Y$24-$I179 &lt;=5, (7-(Y$24-$I179))/6, AND(Y$24-$I179 =6,NOT(_xlfn.IFNA(ISNUMBER(SEARCH("Rending",$L179)),FALSE))), (7-(Y$24-$I179))/6, AND(Y$24-$I179 &gt;=7,NOT(_xlfn.IFNA(ISNUMBER(SEARCH("Rending",$L179)),FALSE))), 0, Y$24-$I179 =7, (7-(Y$24-1-$I179))/6, Y$24-$I179 =8, (7-(Y$24-2-$I179))/6*2/3, Y$24-$I179 =9, (7-(Y$24-3-$I179))/6*1/3, TRUE, 0)) *
IF(ISNUMBER(SEARCH("Ordinance",$L179)),7/6,1) *
IF(OR(ISNUMBER(SEARCH("Melee",$L179)),ISNUMBER(SEARCH("Bypass",$L179))),1.5,1)</f>
        <v>2.5</v>
      </c>
      <c r="Z179" s="17" cm="1">
        <f t="array" ref="Z179">$H179 *
IF(ISNUMBER(SEARCH("Rapid",$L179)),7/6,1) *
IF(OR(ISNUMBER(SEARCH("Beam",$L179)),ISNUMBER(SEARCH("Firestorm",$L179))),1, IF(ISNUMBER(SEARCH("Blast",$L179)),(4+$F179+(2-$F179)*0.5)/6*2,(4+$F179)/6)) *
IF(ISNUMBER(SEARCH("Fusion",$L179)), _xlfn.IFS(Z$24-$I179 &lt;=1, 9/10, Z$24-$I179 &lt;=10,(11-(Z$24-$I179))/10, Z$24-$I179 &gt;=11, 0),
_xlfn.IFS(Z$24-$I179 &lt;=1, 5/6, Z$24-$I179 &lt;=5, (7-(Z$24-$I179))/6, AND(Z$24-$I179 =6,NOT(_xlfn.IFNA(ISNUMBER(SEARCH("Rending",$L179)),FALSE))), (7-(Z$24-$I179))/6, AND(Z$24-$I179 &gt;=7,NOT(_xlfn.IFNA(ISNUMBER(SEARCH("Rending",$L179)),FALSE))), 0, Z$24-$I179 =7, (7-(Z$24-1-$I179))/6, Z$24-$I179 =8, (7-(Z$24-2-$I179))/6*2/3, Z$24-$I179 =9, (7-(Z$24-3-$I179))/6*1/3, TRUE, 0)) *
IF(ISNUMBER(SEARCH("Ordinance",$L179)),7/6,1) *
IF(OR(ISNUMBER(SEARCH("Melee",$L179)),ISNUMBER(SEARCH("Bypass",$L179))),1.5,1)</f>
        <v>2</v>
      </c>
      <c r="AA179" s="17" cm="1">
        <f t="array" ref="AA179">$H179 *
IF(ISNUMBER(SEARCH("Rapid",$L179)),7/6,1) *
IF(OR(ISNUMBER(SEARCH("Beam",$L179)),ISNUMBER(SEARCH("Firestorm",$L179))),1, IF(ISNUMBER(SEARCH("Blast",$L179)),(4+$F179+(2-$F179)*0.5)/6*2,(4+$F179)/6)) *
IF(ISNUMBER(SEARCH("Fusion",$L179)), _xlfn.IFS(AA$24-$I179 &lt;=1, 9/10, AA$24-$I179 &lt;=10,(11-(AA$24-$I179))/10, AA$24-$I179 &gt;=11, 0),
_xlfn.IFS(AA$24-$I179 &lt;=1, 5/6, AA$24-$I179 &lt;=5, (7-(AA$24-$I179))/6, AND(AA$24-$I179 =6,NOT(_xlfn.IFNA(ISNUMBER(SEARCH("Rending",$L179)),FALSE))), (7-(AA$24-$I179))/6, AND(AA$24-$I179 &gt;=7,NOT(_xlfn.IFNA(ISNUMBER(SEARCH("Rending",$L179)),FALSE))), 0, AA$24-$I179 =7, (7-(AA$24-1-$I179))/6, AA$24-$I179 =8, (7-(AA$24-2-$I179))/6*2/3, AA$24-$I179 =9, (7-(AA$24-3-$I179))/6*1/3, TRUE, 0)) *
IF(ISNUMBER(SEARCH("Ordinance",$L179)),7/6,1) *
IF(OR(ISNUMBER(SEARCH("Melee",$L179)),ISNUMBER(SEARCH("Bypass",$L179))),1.5,1)</f>
        <v>1.5</v>
      </c>
      <c r="AB179" s="17" cm="1">
        <f t="array" ref="AB179">$H179 *
IF(ISNUMBER(SEARCH("Rapid",$L179)),7/6,1) *
IF(OR(ISNUMBER(SEARCH("Beam",$L179)),ISNUMBER(SEARCH("Firestorm",$L179))),1, IF(ISNUMBER(SEARCH("Blast",$L179)),(4+$F179+(2-$F179)*0.5)/6*2,(4+$F179)/6)) *
IF(ISNUMBER(SEARCH("Fusion",$L179)), _xlfn.IFS(AB$24-$I179 &lt;=1, 9/10, AB$24-$I179 &lt;=10,(11-(AB$24-$I179))/10, AB$24-$I179 &gt;=11, 0),
_xlfn.IFS(AB$24-$I179 &lt;=1, 5/6, AB$24-$I179 &lt;=5, (7-(AB$24-$I179))/6, AND(AB$24-$I179 =6,NOT(_xlfn.IFNA(ISNUMBER(SEARCH("Rending",$L179)),FALSE))), (7-(AB$24-$I179))/6, AND(AB$24-$I179 &gt;=7,NOT(_xlfn.IFNA(ISNUMBER(SEARCH("Rending",$L179)),FALSE))), 0, AB$24-$I179 =7, (7-(AB$24-1-$I179))/6, AB$24-$I179 =8, (7-(AB$24-2-$I179))/6*2/3, AB$24-$I179 =9, (7-(AB$24-3-$I179))/6*1/3, TRUE, 0)) *
IF(ISNUMBER(SEARCH("Ordinance",$L179)),7/6,1) *
IF(OR(ISNUMBER(SEARCH("Melee",$L179)),ISNUMBER(SEARCH("Bypass",$L179))),1.5,1)</f>
        <v>1</v>
      </c>
      <c r="AC179" s="17" cm="1">
        <f t="array" ref="AC179">$H179 *
IF(ISNUMBER(SEARCH("Rapid",$L179)),7/6,1) *
IF(OR(ISNUMBER(SEARCH("Beam",$L179)),ISNUMBER(SEARCH("Firestorm",$L179))),1, IF(ISNUMBER(SEARCH("Blast",$L179)),(4+$F179+(2-$F179)*0.5)/6*2,(4+$F179)/6)) *
IF(ISNUMBER(SEARCH("Fusion",$L179)), _xlfn.IFS(AC$24-$I179 &lt;=1, 9/10, AC$24-$I179 &lt;=10,(11-(AC$24-$I179))/10, AC$24-$I179 &gt;=11, 0),
_xlfn.IFS(AC$24-$I179 &lt;=1, 5/6, AC$24-$I179 &lt;=5, (7-(AC$24-$I179))/6, AND(AC$24-$I179 =6,NOT(_xlfn.IFNA(ISNUMBER(SEARCH("Rending",$L179)),FALSE))), (7-(AC$24-$I179))/6, AND(AC$24-$I179 &gt;=7,NOT(_xlfn.IFNA(ISNUMBER(SEARCH("Rending",$L179)),FALSE))), 0, AC$24-$I179 =7, (7-(AC$24-1-$I179))/6, AC$24-$I179 =8, (7-(AC$24-2-$I179))/6*2/3, AC$24-$I179 =9, (7-(AC$24-3-$I179))/6*1/3, TRUE, 0)) *
IF(ISNUMBER(SEARCH("Ordinance",$L179)),7/6,1) *
IF(OR(ISNUMBER(SEARCH("Melee",$L179)),ISNUMBER(SEARCH("Bypass",$L179))),1.5,1)</f>
        <v>0.5</v>
      </c>
      <c r="AD179" s="17" cm="1">
        <f t="array" ref="AD179">$H179 *
IF(ISNUMBER(SEARCH("Rapid",$L179)),7/6,1) *
IF(OR(ISNUMBER(SEARCH("Beam",$L179)),ISNUMBER(SEARCH("Firestorm",$L179))),1, IF(ISNUMBER(SEARCH("Blast",$L179)),(4+$F179+(2-$F179)*0.5)/6*2,(4+$F179)/6)) *
IF(ISNUMBER(SEARCH("Fusion",$L179)), _xlfn.IFS(AD$24-$I179 &lt;=1, 9/10, AD$24-$I179 &lt;=10,(11-(AD$24-$I179))/10, AD$24-$I179 &gt;=11, 0),
_xlfn.IFS(AD$24-$I179 &lt;=1, 5/6, AD$24-$I179 &lt;=5, (7-(AD$24-$I179))/6, AND(AD$24-$I179 =6,NOT(_xlfn.IFNA(ISNUMBER(SEARCH("Rending",$L179)),FALSE))), (7-(AD$24-$I179))/6, AND(AD$24-$I179 &gt;=7,NOT(_xlfn.IFNA(ISNUMBER(SEARCH("Rending",$L179)),FALSE))), 0, AD$24-$I179 =7, (7-(AD$24-1-$I179))/6, AD$24-$I179 =8, (7-(AD$24-2-$I179))/6*2/3, AD$24-$I179 =9, (7-(AD$24-3-$I179))/6*1/3, TRUE, 0)) *
IF(ISNUMBER(SEARCH("Ordinance",$L179)),7/6,1) *
IF(OR(ISNUMBER(SEARCH("Melee",$L179)),ISNUMBER(SEARCH("Bypass",$L179))),1.5,1)</f>
        <v>0</v>
      </c>
      <c r="AE179" s="17" cm="1">
        <f t="array" ref="AE179">$H179 *
IF(ISNUMBER(SEARCH("Rapid",$L179)),7/6,1) *
IF(OR(ISNUMBER(SEARCH("Beam",$L179)),ISNUMBER(SEARCH("Firestorm",$L179))),1, IF(ISNUMBER(SEARCH("Blast",$L179)),(4+$F179+(2-$F179)*0.5)/6*2,(4+$F179)/6)) *
IF(ISNUMBER(SEARCH("Fusion",$L179)), _xlfn.IFS(AE$24-$I179 &lt;=1, 9/10, AE$24-$I179 &lt;=10,(11-(AE$24-$I179))/10, AE$24-$I179 &gt;=11, 0),
_xlfn.IFS(AE$24-$I179 &lt;=1, 5/6, AE$24-$I179 &lt;=5, (7-(AE$24-$I179))/6, AND(AE$24-$I179 =6,NOT(_xlfn.IFNA(ISNUMBER(SEARCH("Rending",$L179)),FALSE))), (7-(AE$24-$I179))/6, AND(AE$24-$I179 &gt;=7,NOT(_xlfn.IFNA(ISNUMBER(SEARCH("Rending",$L179)),FALSE))), 0, AE$24-$I179 =7, (7-(AE$24-1-$I179))/6, AE$24-$I179 =8, (7-(AE$24-2-$I179))/6*2/3, AE$24-$I179 =9, (7-(AE$24-3-$I179))/6*1/3, TRUE, 0)) *
IF(ISNUMBER(SEARCH("Ordinance",$L179)),7/6,1) *
IF(OR(ISNUMBER(SEARCH("Melee",$L179)),ISNUMBER(SEARCH("Bypass",$L179))),1.5,1)</f>
        <v>0</v>
      </c>
      <c r="AF179" s="17" cm="1">
        <f t="array" ref="AF179">$H179 *
IF(ISNUMBER(SEARCH("Rapid",$L179)),7/6,1) *
IF(OR(ISNUMBER(SEARCH("Beam",$L179)),ISNUMBER(SEARCH("Firestorm",$L179))),1, IF(ISNUMBER(SEARCH("Blast",$L179)),(4+$F179+(2-$F179)*0.5)/6*2,(4+$F179)/6)) *
IF(ISNUMBER(SEARCH("Fusion",$L179)), _xlfn.IFS(AF$24-$I179 &lt;=1, 9/10, AF$24-$I179 &lt;=10,(11-(AF$24-$I179))/10, AF$24-$I179 &gt;=11, 0),
_xlfn.IFS(AF$24-$I179 &lt;=1, 5/6, AF$24-$I179 &lt;=5, (7-(AF$24-$I179))/6, AND(AF$24-$I179 =6,NOT(_xlfn.IFNA(ISNUMBER(SEARCH("Rending",$L179)),FALSE))), (7-(AF$24-$I179))/6, AND(AF$24-$I179 &gt;=7,NOT(_xlfn.IFNA(ISNUMBER(SEARCH("Rending",$L179)),FALSE))), 0, AF$24-$I179 =7, (7-(AF$24-1-$I179))/6, AF$24-$I179 =8, (7-(AF$24-2-$I179))/6*2/3, AF$24-$I179 =9, (7-(AF$24-3-$I179))/6*1/3, TRUE, 0)) *
IF(ISNUMBER(SEARCH("Ordinance",$L179)),7/6,1) *
IF(OR(ISNUMBER(SEARCH("Melee",$L179)),ISNUMBER(SEARCH("Bypass",$L179))),1.5,1)</f>
        <v>0</v>
      </c>
      <c r="AG179" s="16">
        <f t="shared" si="35"/>
        <v>0</v>
      </c>
      <c r="AH179" s="16">
        <f t="shared" si="36"/>
        <v>0</v>
      </c>
      <c r="AI179" s="17" cm="1">
        <f t="array" ref="AI179">$H179 *
IF(ISNUMBER(SEARCH("Rapid",$L179)),7/6,1) *
IF(OR(ISNUMBER(SEARCH("Beam",$L179)),ISNUMBER(SEARCH("Firestorm",$L179))),1, IF(ISNUMBER(SEARCH("Blast",$L179)),(4+$G179+(2-$G179)*0.5)/6*2,(4+$G179)/6)) *
_xlfn.IFS(AI$24-$I179 &lt;=1, 5/6, AI$24-$I179 &lt;=5, (7-(AI$24-$I179))/6, AND(AI$24-$I179 =6,NOT(_xlfn.IFNA(ISNUMBER(SEARCH("Rending",$L179)),FALSE))), (7-(AI$24-$I179))/6, AND(AI$24-$I179 &gt;=7,NOT(_xlfn.IFNA(ISNUMBER(SEARCH("Rending",$L179)),FALSE))), 0, AI$24-$I179 =7, (7-(AI$24-1-$I179))/6, AI$24-$I179 =8, (7-(AI$24-2-$I179))/6*2/3, AI$24-$I179 =9, (7-(AI$24-3-$I179))/6*1/3, TRUE, 0) *
IF(ISNUMBER(SEARCH("Ordinance",$L179)),7/6,1) *
IF(OR(ISNUMBER(SEARCH("Melee",$L179)),ISNUMBER(SEARCH("Bypass",$L179))),1.5,1)</f>
        <v>1.6666666666666667</v>
      </c>
      <c r="AJ179" s="17" cm="1">
        <f t="array" ref="AJ179">$H179 *
IF(ISNUMBER(SEARCH("Rapid",$L179)),7/6,1) *
IF(OR(ISNUMBER(SEARCH("Beam",$L179)),ISNUMBER(SEARCH("Firestorm",$L179))),1, IF(ISNUMBER(SEARCH("Blast",$L179)),(4+$G179+(2-$G179)*0.5)/6*2,(4+$G179)/6)) *
_xlfn.IFS(AJ$24-$I179 &lt;=1, 5/6, AJ$24-$I179 &lt;=5, (7-(AJ$24-$I179))/6, AND(AJ$24-$I179 =6,NOT(_xlfn.IFNA(ISNUMBER(SEARCH("Rending",$L179)),FALSE))), (7-(AJ$24-$I179))/6, AND(AJ$24-$I179 &gt;=7,NOT(_xlfn.IFNA(ISNUMBER(SEARCH("Rending",$L179)),FALSE))), 0, AJ$24-$I179 =7, (7-(AJ$24-1-$I179))/6, AJ$24-$I179 =8, (7-(AJ$24-2-$I179))/6*2/3, AJ$24-$I179 =9, (7-(AJ$24-3-$I179))/6*1/3, TRUE, 0) *
IF(ISNUMBER(SEARCH("Ordinance",$L179)),7/6,1) *
IF(OR(ISNUMBER(SEARCH("Melee",$L179)),ISNUMBER(SEARCH("Bypass",$L179))),1.5,1)</f>
        <v>1.6666666666666667</v>
      </c>
      <c r="AK179" s="17" cm="1">
        <f t="array" ref="AK179">$H179 *
IF(ISNUMBER(SEARCH("Rapid",$L179)),7/6,1) *
IF(OR(ISNUMBER(SEARCH("Beam",$L179)),ISNUMBER(SEARCH("Firestorm",$L179))),1, IF(ISNUMBER(SEARCH("Blast",$L179)),(4+$G179+(2-$G179)*0.5)/6*2,(4+$G179)/6)) *
_xlfn.IFS(AK$24-$I179 &lt;=1, 5/6, AK$24-$I179 &lt;=5, (7-(AK$24-$I179))/6, AND(AK$24-$I179 =6,NOT(_xlfn.IFNA(ISNUMBER(SEARCH("Rending",$L179)),FALSE))), (7-(AK$24-$I179))/6, AND(AK$24-$I179 &gt;=7,NOT(_xlfn.IFNA(ISNUMBER(SEARCH("Rending",$L179)),FALSE))), 0, AK$24-$I179 =7, (7-(AK$24-1-$I179))/6, AK$24-$I179 =8, (7-(AK$24-2-$I179))/6*2/3, AK$24-$I179 =9, (7-(AK$24-3-$I179))/6*1/3, TRUE, 0) *
IF(ISNUMBER(SEARCH("Ordinance",$L179)),7/6,1) *
IF(OR(ISNUMBER(SEARCH("Melee",$L179)),ISNUMBER(SEARCH("Bypass",$L179))),1.5,1)</f>
        <v>1.3333333333333333</v>
      </c>
      <c r="AL179" s="17" cm="1">
        <f t="array" ref="AL179">$H179 *
IF(ISNUMBER(SEARCH("Rapid",$L179)),7/6,1) *
IF(OR(ISNUMBER(SEARCH("Beam",$L179)),ISNUMBER(SEARCH("Firestorm",$L179))),1, IF(ISNUMBER(SEARCH("Blast",$L179)),(4+$G179+(2-$G179)*0.5)/6*2,(4+$G179)/6)) *
_xlfn.IFS(AL$24-$I179 &lt;=1, 5/6, AL$24-$I179 &lt;=5, (7-(AL$24-$I179))/6, AND(AL$24-$I179 =6,NOT(_xlfn.IFNA(ISNUMBER(SEARCH("Rending",$L179)),FALSE))), (7-(AL$24-$I179))/6, AND(AL$24-$I179 &gt;=7,NOT(_xlfn.IFNA(ISNUMBER(SEARCH("Rending",$L179)),FALSE))), 0, AL$24-$I179 =7, (7-(AL$24-1-$I179))/6, AL$24-$I179 =8, (7-(AL$24-2-$I179))/6*2/3, AL$24-$I179 =9, (7-(AL$24-3-$I179))/6*1/3, TRUE, 0) *
IF(ISNUMBER(SEARCH("Ordinance",$L179)),7/6,1) *
IF(OR(ISNUMBER(SEARCH("Melee",$L179)),ISNUMBER(SEARCH("Bypass",$L179))),1.5,1)</f>
        <v>1</v>
      </c>
      <c r="AM179" s="17" cm="1">
        <f t="array" ref="AM179">$H179 *
IF(ISNUMBER(SEARCH("Rapid",$L179)),7/6,1) *
IF(OR(ISNUMBER(SEARCH("Beam",$L179)),ISNUMBER(SEARCH("Firestorm",$L179))),1, IF(ISNUMBER(SEARCH("Blast",$L179)),(4+$G179+(2-$G179)*0.5)/6*2,(4+$G179)/6)) *
_xlfn.IFS(AM$24-$I179 &lt;=1, 5/6, AM$24-$I179 &lt;=5, (7-(AM$24-$I179))/6, AND(AM$24-$I179 =6,NOT(_xlfn.IFNA(ISNUMBER(SEARCH("Rending",$L179)),FALSE))), (7-(AM$24-$I179))/6, AND(AM$24-$I179 &gt;=7,NOT(_xlfn.IFNA(ISNUMBER(SEARCH("Rending",$L179)),FALSE))), 0, AM$24-$I179 =7, (7-(AM$24-1-$I179))/6, AM$24-$I179 =8, (7-(AM$24-2-$I179))/6*2/3, AM$24-$I179 =9, (7-(AM$24-3-$I179))/6*1/3, TRUE, 0) *
IF(ISNUMBER(SEARCH("Ordinance",$L179)),7/6,1) *
IF(OR(ISNUMBER(SEARCH("Melee",$L179)),ISNUMBER(SEARCH("Bypass",$L179))),1.5,1)</f>
        <v>0.66666666666666663</v>
      </c>
      <c r="AN179" s="17" cm="1">
        <f t="array" ref="AN179">$H179 *
IF(ISNUMBER(SEARCH("Rapid",$L179)),7/6,1) *
IF(OR(ISNUMBER(SEARCH("Beam",$L179)),ISNUMBER(SEARCH("Firestorm",$L179))),1, IF(ISNUMBER(SEARCH("Blast",$L179)),(4+$G179+(2-$G179)*0.5)/6*2,(4+$G179)/6)) *
_xlfn.IFS(AN$24-$I179 &lt;=1, 5/6, AN$24-$I179 &lt;=5, (7-(AN$24-$I179))/6, AND(AN$24-$I179 =6,NOT(_xlfn.IFNA(ISNUMBER(SEARCH("Rending",$L179)),FALSE))), (7-(AN$24-$I179))/6, AND(AN$24-$I179 &gt;=7,NOT(_xlfn.IFNA(ISNUMBER(SEARCH("Rending",$L179)),FALSE))), 0, AN$24-$I179 =7, (7-(AN$24-1-$I179))/6, AN$24-$I179 =8, (7-(AN$24-2-$I179))/6*2/3, AN$24-$I179 =9, (7-(AN$24-3-$I179))/6*1/3, TRUE, 0) *
IF(ISNUMBER(SEARCH("Ordinance",$L179)),7/6,1) *
IF(OR(ISNUMBER(SEARCH("Melee",$L179)),ISNUMBER(SEARCH("Bypass",$L179))),1.5,1)</f>
        <v>0.33333333333333331</v>
      </c>
      <c r="AO179" s="17" cm="1">
        <f t="array" ref="AO179">$H179 *
IF(ISNUMBER(SEARCH("Rapid",$L179)),7/6,1) *
IF(OR(ISNUMBER(SEARCH("Beam",$L179)),ISNUMBER(SEARCH("Firestorm",$L179))),1, IF(ISNUMBER(SEARCH("Blast",$L179)),(4+$G179+(2-$G179)*0.5)/6*2,(4+$G179)/6)) *
_xlfn.IFS(AO$24-$I179 &lt;=1, 5/6, AO$24-$I179 &lt;=5, (7-(AO$24-$I179))/6, AND(AO$24-$I179 =6,NOT(_xlfn.IFNA(ISNUMBER(SEARCH("Rending",$L179)),FALSE))), (7-(AO$24-$I179))/6, AND(AO$24-$I179 &gt;=7,NOT(_xlfn.IFNA(ISNUMBER(SEARCH("Rending",$L179)),FALSE))), 0, AO$24-$I179 =7, (7-(AO$24-1-$I179))/6, AO$24-$I179 =8, (7-(AO$24-2-$I179))/6*2/3, AO$24-$I179 =9, (7-(AO$24-3-$I179))/6*1/3, TRUE, 0) *
IF(ISNUMBER(SEARCH("Ordinance",$L179)),7/6,1) *
IF(OR(ISNUMBER(SEARCH("Melee",$L179)),ISNUMBER(SEARCH("Bypass",$L179))),1.5,1)</f>
        <v>0</v>
      </c>
      <c r="AP179" s="17" cm="1">
        <f t="array" ref="AP179">$H179 *
IF(ISNUMBER(SEARCH("Rapid",$L179)),7/6,1) *
IF(OR(ISNUMBER(SEARCH("Beam",$L179)),ISNUMBER(SEARCH("Firestorm",$L179))),1, IF(ISNUMBER(SEARCH("Blast",$L179)),(4+$G179+(2-$G179)*0.5)/6*2,(4+$G179)/6)) *
_xlfn.IFS(AP$24-$I179 &lt;=1, 5/6, AP$24-$I179 &lt;=5, (7-(AP$24-$I179))/6, AND(AP$24-$I179 =6,NOT(_xlfn.IFNA(ISNUMBER(SEARCH("Rending",$L179)),FALSE))), (7-(AP$24-$I179))/6, AND(AP$24-$I179 &gt;=7,NOT(_xlfn.IFNA(ISNUMBER(SEARCH("Rending",$L179)),FALSE))), 0, AP$24-$I179 =7, (7-(AP$24-1-$I179))/6, AP$24-$I179 =8, (7-(AP$24-2-$I179))/6*2/3, AP$24-$I179 =9, (7-(AP$24-3-$I179))/6*1/3, TRUE, 0) *
IF(ISNUMBER(SEARCH("Ordinance",$L179)),7/6,1) *
IF(OR(ISNUMBER(SEARCH("Melee",$L179)),ISNUMBER(SEARCH("Bypass",$L179))),1.5,1)</f>
        <v>0</v>
      </c>
      <c r="AQ179" s="17" cm="1">
        <f t="array" ref="AQ179">$H179 *
IF(ISNUMBER(SEARCH("Rapid",$L179)),7/6,1) *
IF(OR(ISNUMBER(SEARCH("Beam",$L179)),ISNUMBER(SEARCH("Firestorm",$L179))),1, IF(ISNUMBER(SEARCH("Blast",$L179)),(4+$G179+(2-$G179)*0.5)/6*2,(4+$G179)/6)) *
_xlfn.IFS(AQ$24-$I179 &lt;=1, 5/6, AQ$24-$I179 &lt;=5, (7-(AQ$24-$I179))/6, AND(AQ$24-$I179 =6,NOT(_xlfn.IFNA(ISNUMBER(SEARCH("Rending",$L179)),FALSE))), (7-(AQ$24-$I179))/6, AND(AQ$24-$I179 &gt;=7,NOT(_xlfn.IFNA(ISNUMBER(SEARCH("Rending",$L179)),FALSE))), 0, AQ$24-$I179 =7, (7-(AQ$24-1-$I179))/6, AQ$24-$I179 =8, (7-(AQ$24-2-$I179))/6*2/3, AQ$24-$I179 =9, (7-(AQ$24-3-$I179))/6*1/3, TRUE, 0) *
IF(ISNUMBER(SEARCH("Ordinance",$L179)),7/6,1) *
IF(OR(ISNUMBER(SEARCH("Melee",$L179)),ISNUMBER(SEARCH("Bypass",$L179))),1.5,1)</f>
        <v>0</v>
      </c>
      <c r="AS179" s="16">
        <f t="shared" si="41"/>
        <v>0</v>
      </c>
      <c r="AT179" s="16">
        <f t="shared" si="42"/>
        <v>0</v>
      </c>
      <c r="AU179" s="16">
        <f t="shared" si="43"/>
        <v>0.58333333333333337</v>
      </c>
      <c r="AV179" s="2">
        <v>10</v>
      </c>
    </row>
    <row r="180" spans="1:48" x14ac:dyDescent="0.3">
      <c r="A180" t="s">
        <v>641</v>
      </c>
      <c r="B180" s="3">
        <v>8</v>
      </c>
      <c r="C180" s="3">
        <v>20</v>
      </c>
      <c r="D180" s="3">
        <v>1</v>
      </c>
      <c r="E180" s="3">
        <v>1</v>
      </c>
      <c r="F180" s="10">
        <v>1</v>
      </c>
      <c r="G180" s="10"/>
      <c r="H180" s="3">
        <v>1</v>
      </c>
      <c r="I180" s="3">
        <v>6</v>
      </c>
      <c r="K180" s="3">
        <v>25</v>
      </c>
      <c r="L180" s="3" t="s">
        <v>642</v>
      </c>
      <c r="M180" s="3" t="s">
        <v>225</v>
      </c>
      <c r="V180" s="16">
        <f t="shared" si="33"/>
        <v>0.61111111111111105</v>
      </c>
      <c r="W180" s="16">
        <f t="shared" si="34"/>
        <v>0.91666666666666663</v>
      </c>
      <c r="X180" s="17" cm="1">
        <f t="array" ref="X180">$H180 *
IF(ISNUMBER(SEARCH("Rapid",$L180)),7/6,1) *
IF(OR(ISNUMBER(SEARCH("Beam",$L180)),ISNUMBER(SEARCH("Firestorm",$L180))),1, IF(ISNUMBER(SEARCH("Blast",$L180)),(4+$F180+(2-$F180)*0.5)/6*2,(4+$F180)/6)) *
IF(ISNUMBER(SEARCH("Fusion",$L180)), _xlfn.IFS(X$24-$I180 &lt;=1, 9/10, X$24-$I180 &lt;=10,(11-(X$24-$I180))/10, X$24-$I180 &gt;=11, 0),
_xlfn.IFS(X$24-$I180 &lt;=1, 5/6, X$24-$I180 &lt;=5, (7-(X$24-$I180))/6, AND(X$24-$I180 =6,NOT(_xlfn.IFNA(ISNUMBER(SEARCH("Rending",$L180)),FALSE))), (7-(X$24-$I180))/6, AND(X$24-$I180 &gt;=7,NOT(_xlfn.IFNA(ISNUMBER(SEARCH("Rending",$L180)),FALSE))), 0, X$24-$I180 =7, (7-(X$24-1-$I180))/6, X$24-$I180 =8, (7-(X$24-2-$I180))/6*2/3, X$24-$I180 =9, (7-(X$24-3-$I180))/6*1/3, TRUE, 0)) *
IF(ISNUMBER(SEARCH("Ordinance",$L180)),7/6,1) *
IF(OR(ISNUMBER(SEARCH("Melee",$L180)),ISNUMBER(SEARCH("Bypass",$L180))),1.5,1)</f>
        <v>1.2222222222222221</v>
      </c>
      <c r="Y180" s="17" cm="1">
        <f t="array" ref="Y180">$H180 *
IF(ISNUMBER(SEARCH("Rapid",$L180)),7/6,1) *
IF(OR(ISNUMBER(SEARCH("Beam",$L180)),ISNUMBER(SEARCH("Firestorm",$L180))),1, IF(ISNUMBER(SEARCH("Blast",$L180)),(4+$F180+(2-$F180)*0.5)/6*2,(4+$F180)/6)) *
IF(ISNUMBER(SEARCH("Fusion",$L180)), _xlfn.IFS(Y$24-$I180 &lt;=1, 9/10, Y$24-$I180 &lt;=10,(11-(Y$24-$I180))/10, Y$24-$I180 &gt;=11, 0),
_xlfn.IFS(Y$24-$I180 &lt;=1, 5/6, Y$24-$I180 &lt;=5, (7-(Y$24-$I180))/6, AND(Y$24-$I180 =6,NOT(_xlfn.IFNA(ISNUMBER(SEARCH("Rending",$L180)),FALSE))), (7-(Y$24-$I180))/6, AND(Y$24-$I180 &gt;=7,NOT(_xlfn.IFNA(ISNUMBER(SEARCH("Rending",$L180)),FALSE))), 0, Y$24-$I180 =7, (7-(Y$24-1-$I180))/6, Y$24-$I180 =8, (7-(Y$24-2-$I180))/6*2/3, Y$24-$I180 =9, (7-(Y$24-3-$I180))/6*1/3, TRUE, 0)) *
IF(ISNUMBER(SEARCH("Ordinance",$L180)),7/6,1) *
IF(OR(ISNUMBER(SEARCH("Melee",$L180)),ISNUMBER(SEARCH("Bypass",$L180))),1.5,1)</f>
        <v>0.91666666666666663</v>
      </c>
      <c r="Z180" s="17" cm="1">
        <f t="array" ref="Z180">$H180 *
IF(ISNUMBER(SEARCH("Rapid",$L180)),7/6,1) *
IF(OR(ISNUMBER(SEARCH("Beam",$L180)),ISNUMBER(SEARCH("Firestorm",$L180))),1, IF(ISNUMBER(SEARCH("Blast",$L180)),(4+$F180+(2-$F180)*0.5)/6*2,(4+$F180)/6)) *
IF(ISNUMBER(SEARCH("Fusion",$L180)), _xlfn.IFS(Z$24-$I180 &lt;=1, 9/10, Z$24-$I180 &lt;=10,(11-(Z$24-$I180))/10, Z$24-$I180 &gt;=11, 0),
_xlfn.IFS(Z$24-$I180 &lt;=1, 5/6, Z$24-$I180 &lt;=5, (7-(Z$24-$I180))/6, AND(Z$24-$I180 =6,NOT(_xlfn.IFNA(ISNUMBER(SEARCH("Rending",$L180)),FALSE))), (7-(Z$24-$I180))/6, AND(Z$24-$I180 &gt;=7,NOT(_xlfn.IFNA(ISNUMBER(SEARCH("Rending",$L180)),FALSE))), 0, Z$24-$I180 =7, (7-(Z$24-1-$I180))/6, Z$24-$I180 =8, (7-(Z$24-2-$I180))/6*2/3, Z$24-$I180 =9, (7-(Z$24-3-$I180))/6*1/3, TRUE, 0)) *
IF(ISNUMBER(SEARCH("Ordinance",$L180)),7/6,1) *
IF(OR(ISNUMBER(SEARCH("Melee",$L180)),ISNUMBER(SEARCH("Bypass",$L180))),1.5,1)</f>
        <v>0.61111111111111105</v>
      </c>
      <c r="AA180" s="17" cm="1">
        <f t="array" ref="AA180">$H180 *
IF(ISNUMBER(SEARCH("Rapid",$L180)),7/6,1) *
IF(OR(ISNUMBER(SEARCH("Beam",$L180)),ISNUMBER(SEARCH("Firestorm",$L180))),1, IF(ISNUMBER(SEARCH("Blast",$L180)),(4+$F180+(2-$F180)*0.5)/6*2,(4+$F180)/6)) *
IF(ISNUMBER(SEARCH("Fusion",$L180)), _xlfn.IFS(AA$24-$I180 &lt;=1, 9/10, AA$24-$I180 &lt;=10,(11-(AA$24-$I180))/10, AA$24-$I180 &gt;=11, 0),
_xlfn.IFS(AA$24-$I180 &lt;=1, 5/6, AA$24-$I180 &lt;=5, (7-(AA$24-$I180))/6, AND(AA$24-$I180 =6,NOT(_xlfn.IFNA(ISNUMBER(SEARCH("Rending",$L180)),FALSE))), (7-(AA$24-$I180))/6, AND(AA$24-$I180 &gt;=7,NOT(_xlfn.IFNA(ISNUMBER(SEARCH("Rending",$L180)),FALSE))), 0, AA$24-$I180 =7, (7-(AA$24-1-$I180))/6, AA$24-$I180 =8, (7-(AA$24-2-$I180))/6*2/3, AA$24-$I180 =9, (7-(AA$24-3-$I180))/6*1/3, TRUE, 0)) *
IF(ISNUMBER(SEARCH("Ordinance",$L180)),7/6,1) *
IF(OR(ISNUMBER(SEARCH("Melee",$L180)),ISNUMBER(SEARCH("Bypass",$L180))),1.5,1)</f>
        <v>0.30555555555555552</v>
      </c>
      <c r="AB180" s="17" cm="1">
        <f t="array" ref="AB180">$H180 *
IF(ISNUMBER(SEARCH("Rapid",$L180)),7/6,1) *
IF(OR(ISNUMBER(SEARCH("Beam",$L180)),ISNUMBER(SEARCH("Firestorm",$L180))),1, IF(ISNUMBER(SEARCH("Blast",$L180)),(4+$F180+(2-$F180)*0.5)/6*2,(4+$F180)/6)) *
IF(ISNUMBER(SEARCH("Fusion",$L180)), _xlfn.IFS(AB$24-$I180 &lt;=1, 9/10, AB$24-$I180 &lt;=10,(11-(AB$24-$I180))/10, AB$24-$I180 &gt;=11, 0),
_xlfn.IFS(AB$24-$I180 &lt;=1, 5/6, AB$24-$I180 &lt;=5, (7-(AB$24-$I180))/6, AND(AB$24-$I180 =6,NOT(_xlfn.IFNA(ISNUMBER(SEARCH("Rending",$L180)),FALSE))), (7-(AB$24-$I180))/6, AND(AB$24-$I180 &gt;=7,NOT(_xlfn.IFNA(ISNUMBER(SEARCH("Rending",$L180)),FALSE))), 0, AB$24-$I180 =7, (7-(AB$24-1-$I180))/6, AB$24-$I180 =8, (7-(AB$24-2-$I180))/6*2/3, AB$24-$I180 =9, (7-(AB$24-3-$I180))/6*1/3, TRUE, 0)) *
IF(ISNUMBER(SEARCH("Ordinance",$L180)),7/6,1) *
IF(OR(ISNUMBER(SEARCH("Melee",$L180)),ISNUMBER(SEARCH("Bypass",$L180))),1.5,1)</f>
        <v>0</v>
      </c>
      <c r="AC180" s="17" cm="1">
        <f t="array" ref="AC180">$H180 *
IF(ISNUMBER(SEARCH("Rapid",$L180)),7/6,1) *
IF(OR(ISNUMBER(SEARCH("Beam",$L180)),ISNUMBER(SEARCH("Firestorm",$L180))),1, IF(ISNUMBER(SEARCH("Blast",$L180)),(4+$F180+(2-$F180)*0.5)/6*2,(4+$F180)/6)) *
IF(ISNUMBER(SEARCH("Fusion",$L180)), _xlfn.IFS(AC$24-$I180 &lt;=1, 9/10, AC$24-$I180 &lt;=10,(11-(AC$24-$I180))/10, AC$24-$I180 &gt;=11, 0),
_xlfn.IFS(AC$24-$I180 &lt;=1, 5/6, AC$24-$I180 &lt;=5, (7-(AC$24-$I180))/6, AND(AC$24-$I180 =6,NOT(_xlfn.IFNA(ISNUMBER(SEARCH("Rending",$L180)),FALSE))), (7-(AC$24-$I180))/6, AND(AC$24-$I180 &gt;=7,NOT(_xlfn.IFNA(ISNUMBER(SEARCH("Rending",$L180)),FALSE))), 0, AC$24-$I180 =7, (7-(AC$24-1-$I180))/6, AC$24-$I180 =8, (7-(AC$24-2-$I180))/6*2/3, AC$24-$I180 =9, (7-(AC$24-3-$I180))/6*1/3, TRUE, 0)) *
IF(ISNUMBER(SEARCH("Ordinance",$L180)),7/6,1) *
IF(OR(ISNUMBER(SEARCH("Melee",$L180)),ISNUMBER(SEARCH("Bypass",$L180))),1.5,1)</f>
        <v>0</v>
      </c>
      <c r="AD180" s="17" cm="1">
        <f t="array" ref="AD180">$H180 *
IF(ISNUMBER(SEARCH("Rapid",$L180)),7/6,1) *
IF(OR(ISNUMBER(SEARCH("Beam",$L180)),ISNUMBER(SEARCH("Firestorm",$L180))),1, IF(ISNUMBER(SEARCH("Blast",$L180)),(4+$F180+(2-$F180)*0.5)/6*2,(4+$F180)/6)) *
IF(ISNUMBER(SEARCH("Fusion",$L180)), _xlfn.IFS(AD$24-$I180 &lt;=1, 9/10, AD$24-$I180 &lt;=10,(11-(AD$24-$I180))/10, AD$24-$I180 &gt;=11, 0),
_xlfn.IFS(AD$24-$I180 &lt;=1, 5/6, AD$24-$I180 &lt;=5, (7-(AD$24-$I180))/6, AND(AD$24-$I180 =6,NOT(_xlfn.IFNA(ISNUMBER(SEARCH("Rending",$L180)),FALSE))), (7-(AD$24-$I180))/6, AND(AD$24-$I180 &gt;=7,NOT(_xlfn.IFNA(ISNUMBER(SEARCH("Rending",$L180)),FALSE))), 0, AD$24-$I180 =7, (7-(AD$24-1-$I180))/6, AD$24-$I180 =8, (7-(AD$24-2-$I180))/6*2/3, AD$24-$I180 =9, (7-(AD$24-3-$I180))/6*1/3, TRUE, 0)) *
IF(ISNUMBER(SEARCH("Ordinance",$L180)),7/6,1) *
IF(OR(ISNUMBER(SEARCH("Melee",$L180)),ISNUMBER(SEARCH("Bypass",$L180))),1.5,1)</f>
        <v>0</v>
      </c>
      <c r="AE180" s="17" cm="1">
        <f t="array" ref="AE180">$H180 *
IF(ISNUMBER(SEARCH("Rapid",$L180)),7/6,1) *
IF(OR(ISNUMBER(SEARCH("Beam",$L180)),ISNUMBER(SEARCH("Firestorm",$L180))),1, IF(ISNUMBER(SEARCH("Blast",$L180)),(4+$F180+(2-$F180)*0.5)/6*2,(4+$F180)/6)) *
IF(ISNUMBER(SEARCH("Fusion",$L180)), _xlfn.IFS(AE$24-$I180 &lt;=1, 9/10, AE$24-$I180 &lt;=10,(11-(AE$24-$I180))/10, AE$24-$I180 &gt;=11, 0),
_xlfn.IFS(AE$24-$I180 &lt;=1, 5/6, AE$24-$I180 &lt;=5, (7-(AE$24-$I180))/6, AND(AE$24-$I180 =6,NOT(_xlfn.IFNA(ISNUMBER(SEARCH("Rending",$L180)),FALSE))), (7-(AE$24-$I180))/6, AND(AE$24-$I180 &gt;=7,NOT(_xlfn.IFNA(ISNUMBER(SEARCH("Rending",$L180)),FALSE))), 0, AE$24-$I180 =7, (7-(AE$24-1-$I180))/6, AE$24-$I180 =8, (7-(AE$24-2-$I180))/6*2/3, AE$24-$I180 =9, (7-(AE$24-3-$I180))/6*1/3, TRUE, 0)) *
IF(ISNUMBER(SEARCH("Ordinance",$L180)),7/6,1) *
IF(OR(ISNUMBER(SEARCH("Melee",$L180)),ISNUMBER(SEARCH("Bypass",$L180))),1.5,1)</f>
        <v>0</v>
      </c>
      <c r="AF180" s="17" cm="1">
        <f t="array" ref="AF180">$H180 *
IF(ISNUMBER(SEARCH("Rapid",$L180)),7/6,1) *
IF(OR(ISNUMBER(SEARCH("Beam",$L180)),ISNUMBER(SEARCH("Firestorm",$L180))),1, IF(ISNUMBER(SEARCH("Blast",$L180)),(4+$F180+(2-$F180)*0.5)/6*2,(4+$F180)/6)) *
IF(ISNUMBER(SEARCH("Fusion",$L180)), _xlfn.IFS(AF$24-$I180 &lt;=1, 9/10, AF$24-$I180 &lt;=10,(11-(AF$24-$I180))/10, AF$24-$I180 &gt;=11, 0),
_xlfn.IFS(AF$24-$I180 &lt;=1, 5/6, AF$24-$I180 &lt;=5, (7-(AF$24-$I180))/6, AND(AF$24-$I180 =6,NOT(_xlfn.IFNA(ISNUMBER(SEARCH("Rending",$L180)),FALSE))), (7-(AF$24-$I180))/6, AND(AF$24-$I180 &gt;=7,NOT(_xlfn.IFNA(ISNUMBER(SEARCH("Rending",$L180)),FALSE))), 0, AF$24-$I180 =7, (7-(AF$24-1-$I180))/6, AF$24-$I180 =8, (7-(AF$24-2-$I180))/6*2/3, AF$24-$I180 =9, (7-(AF$24-3-$I180))/6*1/3, TRUE, 0)) *
IF(ISNUMBER(SEARCH("Ordinance",$L180)),7/6,1) *
IF(OR(ISNUMBER(SEARCH("Melee",$L180)),ISNUMBER(SEARCH("Bypass",$L180))),1.5,1)</f>
        <v>0</v>
      </c>
      <c r="AG180" s="16">
        <f t="shared" si="35"/>
        <v>0.55555555555555558</v>
      </c>
      <c r="AH180" s="16">
        <f t="shared" si="36"/>
        <v>0.83333333333333337</v>
      </c>
      <c r="AI180" s="17" cm="1">
        <f t="array" ref="AI180">$H180 *
IF(ISNUMBER(SEARCH("Rapid",$L180)),7/6,1) *
IF(OR(ISNUMBER(SEARCH("Beam",$L180)),ISNUMBER(SEARCH("Firestorm",$L180))),1, IF(ISNUMBER(SEARCH("Blast",$L180)),(4+$G180+(2-$G180)*0.5)/6*2,(4+$G180)/6)) *
_xlfn.IFS(AI$24-$I180 &lt;=1, 5/6, AI$24-$I180 &lt;=5, (7-(AI$24-$I180))/6, AND(AI$24-$I180 =6,NOT(_xlfn.IFNA(ISNUMBER(SEARCH("Rending",$L180)),FALSE))), (7-(AI$24-$I180))/6, AND(AI$24-$I180 &gt;=7,NOT(_xlfn.IFNA(ISNUMBER(SEARCH("Rending",$L180)),FALSE))), 0, AI$24-$I180 =7, (7-(AI$24-1-$I180))/6, AI$24-$I180 =8, (7-(AI$24-2-$I180))/6*2/3, AI$24-$I180 =9, (7-(AI$24-3-$I180))/6*1/3, TRUE, 0) *
IF(ISNUMBER(SEARCH("Ordinance",$L180)),7/6,1) *
IF(OR(ISNUMBER(SEARCH("Melee",$L180)),ISNUMBER(SEARCH("Bypass",$L180))),1.5,1)</f>
        <v>1.1111111111111112</v>
      </c>
      <c r="AJ180" s="17" cm="1">
        <f t="array" ref="AJ180">$H180 *
IF(ISNUMBER(SEARCH("Rapid",$L180)),7/6,1) *
IF(OR(ISNUMBER(SEARCH("Beam",$L180)),ISNUMBER(SEARCH("Firestorm",$L180))),1, IF(ISNUMBER(SEARCH("Blast",$L180)),(4+$G180+(2-$G180)*0.5)/6*2,(4+$G180)/6)) *
_xlfn.IFS(AJ$24-$I180 &lt;=1, 5/6, AJ$24-$I180 &lt;=5, (7-(AJ$24-$I180))/6, AND(AJ$24-$I180 =6,NOT(_xlfn.IFNA(ISNUMBER(SEARCH("Rending",$L180)),FALSE))), (7-(AJ$24-$I180))/6, AND(AJ$24-$I180 &gt;=7,NOT(_xlfn.IFNA(ISNUMBER(SEARCH("Rending",$L180)),FALSE))), 0, AJ$24-$I180 =7, (7-(AJ$24-1-$I180))/6, AJ$24-$I180 =8, (7-(AJ$24-2-$I180))/6*2/3, AJ$24-$I180 =9, (7-(AJ$24-3-$I180))/6*1/3, TRUE, 0) *
IF(ISNUMBER(SEARCH("Ordinance",$L180)),7/6,1) *
IF(OR(ISNUMBER(SEARCH("Melee",$L180)),ISNUMBER(SEARCH("Bypass",$L180))),1.5,1)</f>
        <v>0.83333333333333337</v>
      </c>
      <c r="AK180" s="17" cm="1">
        <f t="array" ref="AK180">$H180 *
IF(ISNUMBER(SEARCH("Rapid",$L180)),7/6,1) *
IF(OR(ISNUMBER(SEARCH("Beam",$L180)),ISNUMBER(SEARCH("Firestorm",$L180))),1, IF(ISNUMBER(SEARCH("Blast",$L180)),(4+$G180+(2-$G180)*0.5)/6*2,(4+$G180)/6)) *
_xlfn.IFS(AK$24-$I180 &lt;=1, 5/6, AK$24-$I180 &lt;=5, (7-(AK$24-$I180))/6, AND(AK$24-$I180 =6,NOT(_xlfn.IFNA(ISNUMBER(SEARCH("Rending",$L180)),FALSE))), (7-(AK$24-$I180))/6, AND(AK$24-$I180 &gt;=7,NOT(_xlfn.IFNA(ISNUMBER(SEARCH("Rending",$L180)),FALSE))), 0, AK$24-$I180 =7, (7-(AK$24-1-$I180))/6, AK$24-$I180 =8, (7-(AK$24-2-$I180))/6*2/3, AK$24-$I180 =9, (7-(AK$24-3-$I180))/6*1/3, TRUE, 0) *
IF(ISNUMBER(SEARCH("Ordinance",$L180)),7/6,1) *
IF(OR(ISNUMBER(SEARCH("Melee",$L180)),ISNUMBER(SEARCH("Bypass",$L180))),1.5,1)</f>
        <v>0.55555555555555558</v>
      </c>
      <c r="AL180" s="17" cm="1">
        <f t="array" ref="AL180">$H180 *
IF(ISNUMBER(SEARCH("Rapid",$L180)),7/6,1) *
IF(OR(ISNUMBER(SEARCH("Beam",$L180)),ISNUMBER(SEARCH("Firestorm",$L180))),1, IF(ISNUMBER(SEARCH("Blast",$L180)),(4+$G180+(2-$G180)*0.5)/6*2,(4+$G180)/6)) *
_xlfn.IFS(AL$24-$I180 &lt;=1, 5/6, AL$24-$I180 &lt;=5, (7-(AL$24-$I180))/6, AND(AL$24-$I180 =6,NOT(_xlfn.IFNA(ISNUMBER(SEARCH("Rending",$L180)),FALSE))), (7-(AL$24-$I180))/6, AND(AL$24-$I180 &gt;=7,NOT(_xlfn.IFNA(ISNUMBER(SEARCH("Rending",$L180)),FALSE))), 0, AL$24-$I180 =7, (7-(AL$24-1-$I180))/6, AL$24-$I180 =8, (7-(AL$24-2-$I180))/6*2/3, AL$24-$I180 =9, (7-(AL$24-3-$I180))/6*1/3, TRUE, 0) *
IF(ISNUMBER(SEARCH("Ordinance",$L180)),7/6,1) *
IF(OR(ISNUMBER(SEARCH("Melee",$L180)),ISNUMBER(SEARCH("Bypass",$L180))),1.5,1)</f>
        <v>0.27777777777777779</v>
      </c>
      <c r="AM180" s="17" cm="1">
        <f t="array" ref="AM180">$H180 *
IF(ISNUMBER(SEARCH("Rapid",$L180)),7/6,1) *
IF(OR(ISNUMBER(SEARCH("Beam",$L180)),ISNUMBER(SEARCH("Firestorm",$L180))),1, IF(ISNUMBER(SEARCH("Blast",$L180)),(4+$G180+(2-$G180)*0.5)/6*2,(4+$G180)/6)) *
_xlfn.IFS(AM$24-$I180 &lt;=1, 5/6, AM$24-$I180 &lt;=5, (7-(AM$24-$I180))/6, AND(AM$24-$I180 =6,NOT(_xlfn.IFNA(ISNUMBER(SEARCH("Rending",$L180)),FALSE))), (7-(AM$24-$I180))/6, AND(AM$24-$I180 &gt;=7,NOT(_xlfn.IFNA(ISNUMBER(SEARCH("Rending",$L180)),FALSE))), 0, AM$24-$I180 =7, (7-(AM$24-1-$I180))/6, AM$24-$I180 =8, (7-(AM$24-2-$I180))/6*2/3, AM$24-$I180 =9, (7-(AM$24-3-$I180))/6*1/3, TRUE, 0) *
IF(ISNUMBER(SEARCH("Ordinance",$L180)),7/6,1) *
IF(OR(ISNUMBER(SEARCH("Melee",$L180)),ISNUMBER(SEARCH("Bypass",$L180))),1.5,1)</f>
        <v>0</v>
      </c>
      <c r="AN180" s="17" cm="1">
        <f t="array" ref="AN180">$H180 *
IF(ISNUMBER(SEARCH("Rapid",$L180)),7/6,1) *
IF(OR(ISNUMBER(SEARCH("Beam",$L180)),ISNUMBER(SEARCH("Firestorm",$L180))),1, IF(ISNUMBER(SEARCH("Blast",$L180)),(4+$G180+(2-$G180)*0.5)/6*2,(4+$G180)/6)) *
_xlfn.IFS(AN$24-$I180 &lt;=1, 5/6, AN$24-$I180 &lt;=5, (7-(AN$24-$I180))/6, AND(AN$24-$I180 =6,NOT(_xlfn.IFNA(ISNUMBER(SEARCH("Rending",$L180)),FALSE))), (7-(AN$24-$I180))/6, AND(AN$24-$I180 &gt;=7,NOT(_xlfn.IFNA(ISNUMBER(SEARCH("Rending",$L180)),FALSE))), 0, AN$24-$I180 =7, (7-(AN$24-1-$I180))/6, AN$24-$I180 =8, (7-(AN$24-2-$I180))/6*2/3, AN$24-$I180 =9, (7-(AN$24-3-$I180))/6*1/3, TRUE, 0) *
IF(ISNUMBER(SEARCH("Ordinance",$L180)),7/6,1) *
IF(OR(ISNUMBER(SEARCH("Melee",$L180)),ISNUMBER(SEARCH("Bypass",$L180))),1.5,1)</f>
        <v>0</v>
      </c>
      <c r="AO180" s="17" cm="1">
        <f t="array" ref="AO180">$H180 *
IF(ISNUMBER(SEARCH("Rapid",$L180)),7/6,1) *
IF(OR(ISNUMBER(SEARCH("Beam",$L180)),ISNUMBER(SEARCH("Firestorm",$L180))),1, IF(ISNUMBER(SEARCH("Blast",$L180)),(4+$G180+(2-$G180)*0.5)/6*2,(4+$G180)/6)) *
_xlfn.IFS(AO$24-$I180 &lt;=1, 5/6, AO$24-$I180 &lt;=5, (7-(AO$24-$I180))/6, AND(AO$24-$I180 =6,NOT(_xlfn.IFNA(ISNUMBER(SEARCH("Rending",$L180)),FALSE))), (7-(AO$24-$I180))/6, AND(AO$24-$I180 &gt;=7,NOT(_xlfn.IFNA(ISNUMBER(SEARCH("Rending",$L180)),FALSE))), 0, AO$24-$I180 =7, (7-(AO$24-1-$I180))/6, AO$24-$I180 =8, (7-(AO$24-2-$I180))/6*2/3, AO$24-$I180 =9, (7-(AO$24-3-$I180))/6*1/3, TRUE, 0) *
IF(ISNUMBER(SEARCH("Ordinance",$L180)),7/6,1) *
IF(OR(ISNUMBER(SEARCH("Melee",$L180)),ISNUMBER(SEARCH("Bypass",$L180))),1.5,1)</f>
        <v>0</v>
      </c>
      <c r="AP180" s="17" cm="1">
        <f t="array" ref="AP180">$H180 *
IF(ISNUMBER(SEARCH("Rapid",$L180)),7/6,1) *
IF(OR(ISNUMBER(SEARCH("Beam",$L180)),ISNUMBER(SEARCH("Firestorm",$L180))),1, IF(ISNUMBER(SEARCH("Blast",$L180)),(4+$G180+(2-$G180)*0.5)/6*2,(4+$G180)/6)) *
_xlfn.IFS(AP$24-$I180 &lt;=1, 5/6, AP$24-$I180 &lt;=5, (7-(AP$24-$I180))/6, AND(AP$24-$I180 =6,NOT(_xlfn.IFNA(ISNUMBER(SEARCH("Rending",$L180)),FALSE))), (7-(AP$24-$I180))/6, AND(AP$24-$I180 &gt;=7,NOT(_xlfn.IFNA(ISNUMBER(SEARCH("Rending",$L180)),FALSE))), 0, AP$24-$I180 =7, (7-(AP$24-1-$I180))/6, AP$24-$I180 =8, (7-(AP$24-2-$I180))/6*2/3, AP$24-$I180 =9, (7-(AP$24-3-$I180))/6*1/3, TRUE, 0) *
IF(ISNUMBER(SEARCH("Ordinance",$L180)),7/6,1) *
IF(OR(ISNUMBER(SEARCH("Melee",$L180)),ISNUMBER(SEARCH("Bypass",$L180))),1.5,1)</f>
        <v>0</v>
      </c>
      <c r="AQ180" s="17" cm="1">
        <f t="array" ref="AQ180">$H180 *
IF(ISNUMBER(SEARCH("Rapid",$L180)),7/6,1) *
IF(OR(ISNUMBER(SEARCH("Beam",$L180)),ISNUMBER(SEARCH("Firestorm",$L180))),1, IF(ISNUMBER(SEARCH("Blast",$L180)),(4+$G180+(2-$G180)*0.5)/6*2,(4+$G180)/6)) *
_xlfn.IFS(AQ$24-$I180 &lt;=1, 5/6, AQ$24-$I180 &lt;=5, (7-(AQ$24-$I180))/6, AND(AQ$24-$I180 =6,NOT(_xlfn.IFNA(ISNUMBER(SEARCH("Rending",$L180)),FALSE))), (7-(AQ$24-$I180))/6, AND(AQ$24-$I180 &gt;=7,NOT(_xlfn.IFNA(ISNUMBER(SEARCH("Rending",$L180)),FALSE))), 0, AQ$24-$I180 =7, (7-(AQ$24-1-$I180))/6, AQ$24-$I180 =8, (7-(AQ$24-2-$I180))/6*2/3, AQ$24-$I180 =9, (7-(AQ$24-3-$I180))/6*1/3, TRUE, 0) *
IF(ISNUMBER(SEARCH("Ordinance",$L180)),7/6,1) *
IF(OR(ISNUMBER(SEARCH("Melee",$L180)),ISNUMBER(SEARCH("Bypass",$L180))),1.5,1)</f>
        <v>0</v>
      </c>
      <c r="AS180" s="16">
        <f t="shared" si="41"/>
        <v>0.55555555555555558</v>
      </c>
      <c r="AT180" s="16">
        <f t="shared" si="42"/>
        <v>0.83333333333333337</v>
      </c>
      <c r="AU180" s="16">
        <f t="shared" si="43"/>
        <v>0.6</v>
      </c>
      <c r="AV180" s="2">
        <v>10</v>
      </c>
    </row>
    <row r="181" spans="1:48" x14ac:dyDescent="0.3">
      <c r="A181" t="s">
        <v>644</v>
      </c>
      <c r="B181" s="3">
        <v>2</v>
      </c>
      <c r="D181" s="3">
        <v>1</v>
      </c>
      <c r="F181" s="10">
        <v>1</v>
      </c>
      <c r="G181" s="10"/>
      <c r="H181" s="3">
        <v>2</v>
      </c>
      <c r="I181" s="3">
        <v>6</v>
      </c>
      <c r="K181" s="3">
        <v>10</v>
      </c>
      <c r="L181" s="3" t="s">
        <v>646</v>
      </c>
      <c r="M181" s="3" t="s">
        <v>225</v>
      </c>
      <c r="V181" s="16">
        <f t="shared" si="33"/>
        <v>0</v>
      </c>
      <c r="W181" s="16">
        <f t="shared" si="34"/>
        <v>0</v>
      </c>
      <c r="X181" s="17" cm="1">
        <f t="array" ref="X181">$H181 *
IF(ISNUMBER(SEARCH("Rapid",$L181)),7/6,1) *
IF(OR(ISNUMBER(SEARCH("Beam",$L181)),ISNUMBER(SEARCH("Firestorm",$L181))),1, IF(ISNUMBER(SEARCH("Blast",$L181)),(4+$F181+(2-$F181)*0.5)/6*2,(4+$F181)/6)) *
IF(ISNUMBER(SEARCH("Fusion",$L181)), _xlfn.IFS(X$24-$I181 &lt;=1, 9/10, X$24-$I181 &lt;=10,(11-(X$24-$I181))/10, X$24-$I181 &gt;=11, 0),
_xlfn.IFS(X$24-$I181 &lt;=1, 5/6, X$24-$I181 &lt;=5, (7-(X$24-$I181))/6, AND(X$24-$I181 =6,NOT(_xlfn.IFNA(ISNUMBER(SEARCH("Rending",$L181)),FALSE))), (7-(X$24-$I181))/6, AND(X$24-$I181 &gt;=7,NOT(_xlfn.IFNA(ISNUMBER(SEARCH("Rending",$L181)),FALSE))), 0, X$24-$I181 =7, (7-(X$24-1-$I181))/6, X$24-$I181 =8, (7-(X$24-2-$I181))/6*2/3, X$24-$I181 =9, (7-(X$24-3-$I181))/6*1/3, TRUE, 0)) *
IF(ISNUMBER(SEARCH("Ordinance",$L181)),7/6,1) *
IF(OR(ISNUMBER(SEARCH("Melee",$L181)),ISNUMBER(SEARCH("Bypass",$L181))),1.5,1)</f>
        <v>2</v>
      </c>
      <c r="Y181" s="17" cm="1">
        <f t="array" ref="Y181">$H181 *
IF(ISNUMBER(SEARCH("Rapid",$L181)),7/6,1) *
IF(OR(ISNUMBER(SEARCH("Beam",$L181)),ISNUMBER(SEARCH("Firestorm",$L181))),1, IF(ISNUMBER(SEARCH("Blast",$L181)),(4+$F181+(2-$F181)*0.5)/6*2,(4+$F181)/6)) *
IF(ISNUMBER(SEARCH("Fusion",$L181)), _xlfn.IFS(Y$24-$I181 &lt;=1, 9/10, Y$24-$I181 &lt;=10,(11-(Y$24-$I181))/10, Y$24-$I181 &gt;=11, 0),
_xlfn.IFS(Y$24-$I181 &lt;=1, 5/6, Y$24-$I181 &lt;=5, (7-(Y$24-$I181))/6, AND(Y$24-$I181 =6,NOT(_xlfn.IFNA(ISNUMBER(SEARCH("Rending",$L181)),FALSE))), (7-(Y$24-$I181))/6, AND(Y$24-$I181 &gt;=7,NOT(_xlfn.IFNA(ISNUMBER(SEARCH("Rending",$L181)),FALSE))), 0, Y$24-$I181 =7, (7-(Y$24-1-$I181))/6, Y$24-$I181 =8, (7-(Y$24-2-$I181))/6*2/3, Y$24-$I181 =9, (7-(Y$24-3-$I181))/6*1/3, TRUE, 0)) *
IF(ISNUMBER(SEARCH("Ordinance",$L181)),7/6,1) *
IF(OR(ISNUMBER(SEARCH("Melee",$L181)),ISNUMBER(SEARCH("Bypass",$L181))),1.5,1)</f>
        <v>1.75</v>
      </c>
      <c r="Z181" s="17" cm="1">
        <f t="array" ref="Z181">$H181 *
IF(ISNUMBER(SEARCH("Rapid",$L181)),7/6,1) *
IF(OR(ISNUMBER(SEARCH("Beam",$L181)),ISNUMBER(SEARCH("Firestorm",$L181))),1, IF(ISNUMBER(SEARCH("Blast",$L181)),(4+$F181+(2-$F181)*0.5)/6*2,(4+$F181)/6)) *
IF(ISNUMBER(SEARCH("Fusion",$L181)), _xlfn.IFS(Z$24-$I181 &lt;=1, 9/10, Z$24-$I181 &lt;=10,(11-(Z$24-$I181))/10, Z$24-$I181 &gt;=11, 0),
_xlfn.IFS(Z$24-$I181 &lt;=1, 5/6, Z$24-$I181 &lt;=5, (7-(Z$24-$I181))/6, AND(Z$24-$I181 =6,NOT(_xlfn.IFNA(ISNUMBER(SEARCH("Rending",$L181)),FALSE))), (7-(Z$24-$I181))/6, AND(Z$24-$I181 &gt;=7,NOT(_xlfn.IFNA(ISNUMBER(SEARCH("Rending",$L181)),FALSE))), 0, Z$24-$I181 =7, (7-(Z$24-1-$I181))/6, Z$24-$I181 =8, (7-(Z$24-2-$I181))/6*2/3, Z$24-$I181 =9, (7-(Z$24-3-$I181))/6*1/3, TRUE, 0)) *
IF(ISNUMBER(SEARCH("Ordinance",$L181)),7/6,1) *
IF(OR(ISNUMBER(SEARCH("Melee",$L181)),ISNUMBER(SEARCH("Bypass",$L181))),1.5,1)</f>
        <v>1.5</v>
      </c>
      <c r="AA181" s="17" cm="1">
        <f t="array" ref="AA181">$H181 *
IF(ISNUMBER(SEARCH("Rapid",$L181)),7/6,1) *
IF(OR(ISNUMBER(SEARCH("Beam",$L181)),ISNUMBER(SEARCH("Firestorm",$L181))),1, IF(ISNUMBER(SEARCH("Blast",$L181)),(4+$F181+(2-$F181)*0.5)/6*2,(4+$F181)/6)) *
IF(ISNUMBER(SEARCH("Fusion",$L181)), _xlfn.IFS(AA$24-$I181 &lt;=1, 9/10, AA$24-$I181 &lt;=10,(11-(AA$24-$I181))/10, AA$24-$I181 &gt;=11, 0),
_xlfn.IFS(AA$24-$I181 &lt;=1, 5/6, AA$24-$I181 &lt;=5, (7-(AA$24-$I181))/6, AND(AA$24-$I181 =6,NOT(_xlfn.IFNA(ISNUMBER(SEARCH("Rending",$L181)),FALSE))), (7-(AA$24-$I181))/6, AND(AA$24-$I181 &gt;=7,NOT(_xlfn.IFNA(ISNUMBER(SEARCH("Rending",$L181)),FALSE))), 0, AA$24-$I181 =7, (7-(AA$24-1-$I181))/6, AA$24-$I181 =8, (7-(AA$24-2-$I181))/6*2/3, AA$24-$I181 =9, (7-(AA$24-3-$I181))/6*1/3, TRUE, 0)) *
IF(ISNUMBER(SEARCH("Ordinance",$L181)),7/6,1) *
IF(OR(ISNUMBER(SEARCH("Melee",$L181)),ISNUMBER(SEARCH("Bypass",$L181))),1.5,1)</f>
        <v>1.25</v>
      </c>
      <c r="AB181" s="17" cm="1">
        <f t="array" ref="AB181">$H181 *
IF(ISNUMBER(SEARCH("Rapid",$L181)),7/6,1) *
IF(OR(ISNUMBER(SEARCH("Beam",$L181)),ISNUMBER(SEARCH("Firestorm",$L181))),1, IF(ISNUMBER(SEARCH("Blast",$L181)),(4+$F181+(2-$F181)*0.5)/6*2,(4+$F181)/6)) *
IF(ISNUMBER(SEARCH("Fusion",$L181)), _xlfn.IFS(AB$24-$I181 &lt;=1, 9/10, AB$24-$I181 &lt;=10,(11-(AB$24-$I181))/10, AB$24-$I181 &gt;=11, 0),
_xlfn.IFS(AB$24-$I181 &lt;=1, 5/6, AB$24-$I181 &lt;=5, (7-(AB$24-$I181))/6, AND(AB$24-$I181 =6,NOT(_xlfn.IFNA(ISNUMBER(SEARCH("Rending",$L181)),FALSE))), (7-(AB$24-$I181))/6, AND(AB$24-$I181 &gt;=7,NOT(_xlfn.IFNA(ISNUMBER(SEARCH("Rending",$L181)),FALSE))), 0, AB$24-$I181 =7, (7-(AB$24-1-$I181))/6, AB$24-$I181 =8, (7-(AB$24-2-$I181))/6*2/3, AB$24-$I181 =9, (7-(AB$24-3-$I181))/6*1/3, TRUE, 0)) *
IF(ISNUMBER(SEARCH("Ordinance",$L181)),7/6,1) *
IF(OR(ISNUMBER(SEARCH("Melee",$L181)),ISNUMBER(SEARCH("Bypass",$L181))),1.5,1)</f>
        <v>1</v>
      </c>
      <c r="AC181" s="17" cm="1">
        <f t="array" ref="AC181">$H181 *
IF(ISNUMBER(SEARCH("Rapid",$L181)),7/6,1) *
IF(OR(ISNUMBER(SEARCH("Beam",$L181)),ISNUMBER(SEARCH("Firestorm",$L181))),1, IF(ISNUMBER(SEARCH("Blast",$L181)),(4+$F181+(2-$F181)*0.5)/6*2,(4+$F181)/6)) *
IF(ISNUMBER(SEARCH("Fusion",$L181)), _xlfn.IFS(AC$24-$I181 &lt;=1, 9/10, AC$24-$I181 &lt;=10,(11-(AC$24-$I181))/10, AC$24-$I181 &gt;=11, 0),
_xlfn.IFS(AC$24-$I181 &lt;=1, 5/6, AC$24-$I181 &lt;=5, (7-(AC$24-$I181))/6, AND(AC$24-$I181 =6,NOT(_xlfn.IFNA(ISNUMBER(SEARCH("Rending",$L181)),FALSE))), (7-(AC$24-$I181))/6, AND(AC$24-$I181 &gt;=7,NOT(_xlfn.IFNA(ISNUMBER(SEARCH("Rending",$L181)),FALSE))), 0, AC$24-$I181 =7, (7-(AC$24-1-$I181))/6, AC$24-$I181 =8, (7-(AC$24-2-$I181))/6*2/3, AC$24-$I181 =9, (7-(AC$24-3-$I181))/6*1/3, TRUE, 0)) *
IF(ISNUMBER(SEARCH("Ordinance",$L181)),7/6,1) *
IF(OR(ISNUMBER(SEARCH("Melee",$L181)),ISNUMBER(SEARCH("Bypass",$L181))),1.5,1)</f>
        <v>0.75</v>
      </c>
      <c r="AD181" s="17" cm="1">
        <f t="array" ref="AD181">$H181 *
IF(ISNUMBER(SEARCH("Rapid",$L181)),7/6,1) *
IF(OR(ISNUMBER(SEARCH("Beam",$L181)),ISNUMBER(SEARCH("Firestorm",$L181))),1, IF(ISNUMBER(SEARCH("Blast",$L181)),(4+$F181+(2-$F181)*0.5)/6*2,(4+$F181)/6)) *
IF(ISNUMBER(SEARCH("Fusion",$L181)), _xlfn.IFS(AD$24-$I181 &lt;=1, 9/10, AD$24-$I181 &lt;=10,(11-(AD$24-$I181))/10, AD$24-$I181 &gt;=11, 0),
_xlfn.IFS(AD$24-$I181 &lt;=1, 5/6, AD$24-$I181 &lt;=5, (7-(AD$24-$I181))/6, AND(AD$24-$I181 =6,NOT(_xlfn.IFNA(ISNUMBER(SEARCH("Rending",$L181)),FALSE))), (7-(AD$24-$I181))/6, AND(AD$24-$I181 &gt;=7,NOT(_xlfn.IFNA(ISNUMBER(SEARCH("Rending",$L181)),FALSE))), 0, AD$24-$I181 =7, (7-(AD$24-1-$I181))/6, AD$24-$I181 =8, (7-(AD$24-2-$I181))/6*2/3, AD$24-$I181 =9, (7-(AD$24-3-$I181))/6*1/3, TRUE, 0)) *
IF(ISNUMBER(SEARCH("Ordinance",$L181)),7/6,1) *
IF(OR(ISNUMBER(SEARCH("Melee",$L181)),ISNUMBER(SEARCH("Bypass",$L181))),1.5,1)</f>
        <v>0.5</v>
      </c>
      <c r="AE181" s="17" cm="1">
        <f t="array" ref="AE181">$H181 *
IF(ISNUMBER(SEARCH("Rapid",$L181)),7/6,1) *
IF(OR(ISNUMBER(SEARCH("Beam",$L181)),ISNUMBER(SEARCH("Firestorm",$L181))),1, IF(ISNUMBER(SEARCH("Blast",$L181)),(4+$F181+(2-$F181)*0.5)/6*2,(4+$F181)/6)) *
IF(ISNUMBER(SEARCH("Fusion",$L181)), _xlfn.IFS(AE$24-$I181 &lt;=1, 9/10, AE$24-$I181 &lt;=10,(11-(AE$24-$I181))/10, AE$24-$I181 &gt;=11, 0),
_xlfn.IFS(AE$24-$I181 &lt;=1, 5/6, AE$24-$I181 &lt;=5, (7-(AE$24-$I181))/6, AND(AE$24-$I181 =6,NOT(_xlfn.IFNA(ISNUMBER(SEARCH("Rending",$L181)),FALSE))), (7-(AE$24-$I181))/6, AND(AE$24-$I181 &gt;=7,NOT(_xlfn.IFNA(ISNUMBER(SEARCH("Rending",$L181)),FALSE))), 0, AE$24-$I181 =7, (7-(AE$24-1-$I181))/6, AE$24-$I181 =8, (7-(AE$24-2-$I181))/6*2/3, AE$24-$I181 =9, (7-(AE$24-3-$I181))/6*1/3, TRUE, 0)) *
IF(ISNUMBER(SEARCH("Ordinance",$L181)),7/6,1) *
IF(OR(ISNUMBER(SEARCH("Melee",$L181)),ISNUMBER(SEARCH("Bypass",$L181))),1.5,1)</f>
        <v>0.25</v>
      </c>
      <c r="AF181" s="17" cm="1">
        <f t="array" ref="AF181">$H181 *
IF(ISNUMBER(SEARCH("Rapid",$L181)),7/6,1) *
IF(OR(ISNUMBER(SEARCH("Beam",$L181)),ISNUMBER(SEARCH("Firestorm",$L181))),1, IF(ISNUMBER(SEARCH("Blast",$L181)),(4+$F181+(2-$F181)*0.5)/6*2,(4+$F181)/6)) *
IF(ISNUMBER(SEARCH("Fusion",$L181)), _xlfn.IFS(AF$24-$I181 &lt;=1, 9/10, AF$24-$I181 &lt;=10,(11-(AF$24-$I181))/10, AF$24-$I181 &gt;=11, 0),
_xlfn.IFS(AF$24-$I181 &lt;=1, 5/6, AF$24-$I181 &lt;=5, (7-(AF$24-$I181))/6, AND(AF$24-$I181 =6,NOT(_xlfn.IFNA(ISNUMBER(SEARCH("Rending",$L181)),FALSE))), (7-(AF$24-$I181))/6, AND(AF$24-$I181 &gt;=7,NOT(_xlfn.IFNA(ISNUMBER(SEARCH("Rending",$L181)),FALSE))), 0, AF$24-$I181 =7, (7-(AF$24-1-$I181))/6, AF$24-$I181 =8, (7-(AF$24-2-$I181))/6*2/3, AF$24-$I181 =9, (7-(AF$24-3-$I181))/6*1/3, TRUE, 0)) *
IF(ISNUMBER(SEARCH("Ordinance",$L181)),7/6,1) *
IF(OR(ISNUMBER(SEARCH("Melee",$L181)),ISNUMBER(SEARCH("Bypass",$L181))),1.5,1)</f>
        <v>0</v>
      </c>
      <c r="AG181" s="16">
        <f t="shared" si="35"/>
        <v>0</v>
      </c>
      <c r="AH181" s="16">
        <f t="shared" si="36"/>
        <v>0</v>
      </c>
      <c r="AI181" s="17" cm="1">
        <f t="array" ref="AI181">$H181 *
IF(ISNUMBER(SEARCH("Rapid",$L181)),7/6,1) *
IF(OR(ISNUMBER(SEARCH("Beam",$L181)),ISNUMBER(SEARCH("Firestorm",$L181))),1, IF(ISNUMBER(SEARCH("Blast",$L181)),(4+$G181+(2-$G181)*0.5)/6*2,(4+$G181)/6)) *
_xlfn.IFS(AI$24-$I181 &lt;=1, 5/6, AI$24-$I181 &lt;=5, (7-(AI$24-$I181))/6, AND(AI$24-$I181 =6,NOT(_xlfn.IFNA(ISNUMBER(SEARCH("Rending",$L181)),FALSE))), (7-(AI$24-$I181))/6, AND(AI$24-$I181 &gt;=7,NOT(_xlfn.IFNA(ISNUMBER(SEARCH("Rending",$L181)),FALSE))), 0, AI$24-$I181 =7, (7-(AI$24-1-$I181))/6, AI$24-$I181 =8, (7-(AI$24-2-$I181))/6*2/3, AI$24-$I181 =9, (7-(AI$24-3-$I181))/6*1/3, TRUE, 0) *
IF(ISNUMBER(SEARCH("Ordinance",$L181)),7/6,1) *
IF(OR(ISNUMBER(SEARCH("Melee",$L181)),ISNUMBER(SEARCH("Bypass",$L181))),1.5,1)</f>
        <v>1.3333333333333333</v>
      </c>
      <c r="AJ181" s="17" cm="1">
        <f t="array" ref="AJ181">$H181 *
IF(ISNUMBER(SEARCH("Rapid",$L181)),7/6,1) *
IF(OR(ISNUMBER(SEARCH("Beam",$L181)),ISNUMBER(SEARCH("Firestorm",$L181))),1, IF(ISNUMBER(SEARCH("Blast",$L181)),(4+$G181+(2-$G181)*0.5)/6*2,(4+$G181)/6)) *
_xlfn.IFS(AJ$24-$I181 &lt;=1, 5/6, AJ$24-$I181 &lt;=5, (7-(AJ$24-$I181))/6, AND(AJ$24-$I181 =6,NOT(_xlfn.IFNA(ISNUMBER(SEARCH("Rending",$L181)),FALSE))), (7-(AJ$24-$I181))/6, AND(AJ$24-$I181 &gt;=7,NOT(_xlfn.IFNA(ISNUMBER(SEARCH("Rending",$L181)),FALSE))), 0, AJ$24-$I181 =7, (7-(AJ$24-1-$I181))/6, AJ$24-$I181 =8, (7-(AJ$24-2-$I181))/6*2/3, AJ$24-$I181 =9, (7-(AJ$24-3-$I181))/6*1/3, TRUE, 0) *
IF(ISNUMBER(SEARCH("Ordinance",$L181)),7/6,1) *
IF(OR(ISNUMBER(SEARCH("Melee",$L181)),ISNUMBER(SEARCH("Bypass",$L181))),1.5,1)</f>
        <v>1</v>
      </c>
      <c r="AK181" s="17" cm="1">
        <f t="array" ref="AK181">$H181 *
IF(ISNUMBER(SEARCH("Rapid",$L181)),7/6,1) *
IF(OR(ISNUMBER(SEARCH("Beam",$L181)),ISNUMBER(SEARCH("Firestorm",$L181))),1, IF(ISNUMBER(SEARCH("Blast",$L181)),(4+$G181+(2-$G181)*0.5)/6*2,(4+$G181)/6)) *
_xlfn.IFS(AK$24-$I181 &lt;=1, 5/6, AK$24-$I181 &lt;=5, (7-(AK$24-$I181))/6, AND(AK$24-$I181 =6,NOT(_xlfn.IFNA(ISNUMBER(SEARCH("Rending",$L181)),FALSE))), (7-(AK$24-$I181))/6, AND(AK$24-$I181 &gt;=7,NOT(_xlfn.IFNA(ISNUMBER(SEARCH("Rending",$L181)),FALSE))), 0, AK$24-$I181 =7, (7-(AK$24-1-$I181))/6, AK$24-$I181 =8, (7-(AK$24-2-$I181))/6*2/3, AK$24-$I181 =9, (7-(AK$24-3-$I181))/6*1/3, TRUE, 0) *
IF(ISNUMBER(SEARCH("Ordinance",$L181)),7/6,1) *
IF(OR(ISNUMBER(SEARCH("Melee",$L181)),ISNUMBER(SEARCH("Bypass",$L181))),1.5,1)</f>
        <v>0.66666666666666663</v>
      </c>
      <c r="AL181" s="17" cm="1">
        <f t="array" ref="AL181">$H181 *
IF(ISNUMBER(SEARCH("Rapid",$L181)),7/6,1) *
IF(OR(ISNUMBER(SEARCH("Beam",$L181)),ISNUMBER(SEARCH("Firestorm",$L181))),1, IF(ISNUMBER(SEARCH("Blast",$L181)),(4+$G181+(2-$G181)*0.5)/6*2,(4+$G181)/6)) *
_xlfn.IFS(AL$24-$I181 &lt;=1, 5/6, AL$24-$I181 &lt;=5, (7-(AL$24-$I181))/6, AND(AL$24-$I181 =6,NOT(_xlfn.IFNA(ISNUMBER(SEARCH("Rending",$L181)),FALSE))), (7-(AL$24-$I181))/6, AND(AL$24-$I181 &gt;=7,NOT(_xlfn.IFNA(ISNUMBER(SEARCH("Rending",$L181)),FALSE))), 0, AL$24-$I181 =7, (7-(AL$24-1-$I181))/6, AL$24-$I181 =8, (7-(AL$24-2-$I181))/6*2/3, AL$24-$I181 =9, (7-(AL$24-3-$I181))/6*1/3, TRUE, 0) *
IF(ISNUMBER(SEARCH("Ordinance",$L181)),7/6,1) *
IF(OR(ISNUMBER(SEARCH("Melee",$L181)),ISNUMBER(SEARCH("Bypass",$L181))),1.5,1)</f>
        <v>0.33333333333333331</v>
      </c>
      <c r="AM181" s="17" cm="1">
        <f t="array" ref="AM181">$H181 *
IF(ISNUMBER(SEARCH("Rapid",$L181)),7/6,1) *
IF(OR(ISNUMBER(SEARCH("Beam",$L181)),ISNUMBER(SEARCH("Firestorm",$L181))),1, IF(ISNUMBER(SEARCH("Blast",$L181)),(4+$G181+(2-$G181)*0.5)/6*2,(4+$G181)/6)) *
_xlfn.IFS(AM$24-$I181 &lt;=1, 5/6, AM$24-$I181 &lt;=5, (7-(AM$24-$I181))/6, AND(AM$24-$I181 =6,NOT(_xlfn.IFNA(ISNUMBER(SEARCH("Rending",$L181)),FALSE))), (7-(AM$24-$I181))/6, AND(AM$24-$I181 &gt;=7,NOT(_xlfn.IFNA(ISNUMBER(SEARCH("Rending",$L181)),FALSE))), 0, AM$24-$I181 =7, (7-(AM$24-1-$I181))/6, AM$24-$I181 =8, (7-(AM$24-2-$I181))/6*2/3, AM$24-$I181 =9, (7-(AM$24-3-$I181))/6*1/3, TRUE, 0) *
IF(ISNUMBER(SEARCH("Ordinance",$L181)),7/6,1) *
IF(OR(ISNUMBER(SEARCH("Melee",$L181)),ISNUMBER(SEARCH("Bypass",$L181))),1.5,1)</f>
        <v>0</v>
      </c>
      <c r="AN181" s="17" cm="1">
        <f t="array" ref="AN181">$H181 *
IF(ISNUMBER(SEARCH("Rapid",$L181)),7/6,1) *
IF(OR(ISNUMBER(SEARCH("Beam",$L181)),ISNUMBER(SEARCH("Firestorm",$L181))),1, IF(ISNUMBER(SEARCH("Blast",$L181)),(4+$G181+(2-$G181)*0.5)/6*2,(4+$G181)/6)) *
_xlfn.IFS(AN$24-$I181 &lt;=1, 5/6, AN$24-$I181 &lt;=5, (7-(AN$24-$I181))/6, AND(AN$24-$I181 =6,NOT(_xlfn.IFNA(ISNUMBER(SEARCH("Rending",$L181)),FALSE))), (7-(AN$24-$I181))/6, AND(AN$24-$I181 &gt;=7,NOT(_xlfn.IFNA(ISNUMBER(SEARCH("Rending",$L181)),FALSE))), 0, AN$24-$I181 =7, (7-(AN$24-1-$I181))/6, AN$24-$I181 =8, (7-(AN$24-2-$I181))/6*2/3, AN$24-$I181 =9, (7-(AN$24-3-$I181))/6*1/3, TRUE, 0) *
IF(ISNUMBER(SEARCH("Ordinance",$L181)),7/6,1) *
IF(OR(ISNUMBER(SEARCH("Melee",$L181)),ISNUMBER(SEARCH("Bypass",$L181))),1.5,1)</f>
        <v>0</v>
      </c>
      <c r="AO181" s="17" cm="1">
        <f t="array" ref="AO181">$H181 *
IF(ISNUMBER(SEARCH("Rapid",$L181)),7/6,1) *
IF(OR(ISNUMBER(SEARCH("Beam",$L181)),ISNUMBER(SEARCH("Firestorm",$L181))),1, IF(ISNUMBER(SEARCH("Blast",$L181)),(4+$G181+(2-$G181)*0.5)/6*2,(4+$G181)/6)) *
_xlfn.IFS(AO$24-$I181 &lt;=1, 5/6, AO$24-$I181 &lt;=5, (7-(AO$24-$I181))/6, AND(AO$24-$I181 =6,NOT(_xlfn.IFNA(ISNUMBER(SEARCH("Rending",$L181)),FALSE))), (7-(AO$24-$I181))/6, AND(AO$24-$I181 &gt;=7,NOT(_xlfn.IFNA(ISNUMBER(SEARCH("Rending",$L181)),FALSE))), 0, AO$24-$I181 =7, (7-(AO$24-1-$I181))/6, AO$24-$I181 =8, (7-(AO$24-2-$I181))/6*2/3, AO$24-$I181 =9, (7-(AO$24-3-$I181))/6*1/3, TRUE, 0) *
IF(ISNUMBER(SEARCH("Ordinance",$L181)),7/6,1) *
IF(OR(ISNUMBER(SEARCH("Melee",$L181)),ISNUMBER(SEARCH("Bypass",$L181))),1.5,1)</f>
        <v>0</v>
      </c>
      <c r="AP181" s="17" cm="1">
        <f t="array" ref="AP181">$H181 *
IF(ISNUMBER(SEARCH("Rapid",$L181)),7/6,1) *
IF(OR(ISNUMBER(SEARCH("Beam",$L181)),ISNUMBER(SEARCH("Firestorm",$L181))),1, IF(ISNUMBER(SEARCH("Blast",$L181)),(4+$G181+(2-$G181)*0.5)/6*2,(4+$G181)/6)) *
_xlfn.IFS(AP$24-$I181 &lt;=1, 5/6, AP$24-$I181 &lt;=5, (7-(AP$24-$I181))/6, AND(AP$24-$I181 =6,NOT(_xlfn.IFNA(ISNUMBER(SEARCH("Rending",$L181)),FALSE))), (7-(AP$24-$I181))/6, AND(AP$24-$I181 &gt;=7,NOT(_xlfn.IFNA(ISNUMBER(SEARCH("Rending",$L181)),FALSE))), 0, AP$24-$I181 =7, (7-(AP$24-1-$I181))/6, AP$24-$I181 =8, (7-(AP$24-2-$I181))/6*2/3, AP$24-$I181 =9, (7-(AP$24-3-$I181))/6*1/3, TRUE, 0) *
IF(ISNUMBER(SEARCH("Ordinance",$L181)),7/6,1) *
IF(OR(ISNUMBER(SEARCH("Melee",$L181)),ISNUMBER(SEARCH("Bypass",$L181))),1.5,1)</f>
        <v>0</v>
      </c>
      <c r="AQ181" s="17" cm="1">
        <f t="array" ref="AQ181">$H181 *
IF(ISNUMBER(SEARCH("Rapid",$L181)),7/6,1) *
IF(OR(ISNUMBER(SEARCH("Beam",$L181)),ISNUMBER(SEARCH("Firestorm",$L181))),1, IF(ISNUMBER(SEARCH("Blast",$L181)),(4+$G181+(2-$G181)*0.5)/6*2,(4+$G181)/6)) *
_xlfn.IFS(AQ$24-$I181 &lt;=1, 5/6, AQ$24-$I181 &lt;=5, (7-(AQ$24-$I181))/6, AND(AQ$24-$I181 =6,NOT(_xlfn.IFNA(ISNUMBER(SEARCH("Rending",$L181)),FALSE))), (7-(AQ$24-$I181))/6, AND(AQ$24-$I181 &gt;=7,NOT(_xlfn.IFNA(ISNUMBER(SEARCH("Rending",$L181)),FALSE))), 0, AQ$24-$I181 =7, (7-(AQ$24-1-$I181))/6, AQ$24-$I181 =8, (7-(AQ$24-2-$I181))/6*2/3, AQ$24-$I181 =9, (7-(AQ$24-3-$I181))/6*1/3, TRUE, 0) *
IF(ISNUMBER(SEARCH("Ordinance",$L181)),7/6,1) *
IF(OR(ISNUMBER(SEARCH("Melee",$L181)),ISNUMBER(SEARCH("Bypass",$L181))),1.5,1)</f>
        <v>0</v>
      </c>
      <c r="AS181" s="16">
        <f t="shared" si="41"/>
        <v>0</v>
      </c>
      <c r="AT181" s="16">
        <f t="shared" si="42"/>
        <v>0</v>
      </c>
      <c r="AU181" s="16">
        <f t="shared" si="43"/>
        <v>0.46666666666666662</v>
      </c>
      <c r="AV181" s="2">
        <v>10</v>
      </c>
    </row>
    <row r="182" spans="1:48" x14ac:dyDescent="0.3">
      <c r="F182" s="10"/>
      <c r="G182" s="10"/>
      <c r="V182" s="16">
        <f t="shared" si="33"/>
        <v>0</v>
      </c>
      <c r="W182" s="16">
        <f t="shared" si="34"/>
        <v>0</v>
      </c>
      <c r="X182" s="17" cm="1">
        <f t="array" ref="X182">$H182 *
IF(ISNUMBER(SEARCH("Rapid",$L182)),7/6,1) *
IF(OR(ISNUMBER(SEARCH("Beam",$L182)),ISNUMBER(SEARCH("Firestorm",$L182))),1, IF(ISNUMBER(SEARCH("Blast",$L182)),(4+$F182+(2-$F182)*0.5)/6*2,(4+$F182)/6)) *
IF(ISNUMBER(SEARCH("Fusion",$L182)), _xlfn.IFS(X$24-$I182 &lt;=1, 9/10, X$24-$I182 &lt;=10,(11-(X$24-$I182))/10, X$24-$I182 &gt;=11, 0),
_xlfn.IFS(X$24-$I182 &lt;=1, 5/6, X$24-$I182 &lt;=5, (7-(X$24-$I182))/6, AND(X$24-$I182 =6,NOT(_xlfn.IFNA(ISNUMBER(SEARCH("Rending",$L182)),FALSE))), (7-(X$24-$I182))/6, AND(X$24-$I182 &gt;=7,NOT(_xlfn.IFNA(ISNUMBER(SEARCH("Rending",$L182)),FALSE))), 0, X$24-$I182 =7, (7-(X$24-1-$I182))/6, X$24-$I182 =8, (7-(X$24-2-$I182))/6*2/3, X$24-$I182 =9, (7-(X$24-3-$I182))/6*1/3, TRUE, 0)) *
IF(ISNUMBER(SEARCH("Ordinance",$L182)),7/6,1) *
IF(OR(ISNUMBER(SEARCH("Melee",$L182)),ISNUMBER(SEARCH("Bypass",$L182))),1.5,1)</f>
        <v>0</v>
      </c>
      <c r="Y182" s="17" cm="1">
        <f t="array" ref="Y182">$H182 *
IF(ISNUMBER(SEARCH("Rapid",$L182)),7/6,1) *
IF(OR(ISNUMBER(SEARCH("Beam",$L182)),ISNUMBER(SEARCH("Firestorm",$L182))),1, IF(ISNUMBER(SEARCH("Blast",$L182)),(4+$F182+(2-$F182)*0.5)/6*2,(4+$F182)/6)) *
IF(ISNUMBER(SEARCH("Fusion",$L182)), _xlfn.IFS(Y$24-$I182 &lt;=1, 9/10, Y$24-$I182 &lt;=10,(11-(Y$24-$I182))/10, Y$24-$I182 &gt;=11, 0),
_xlfn.IFS(Y$24-$I182 &lt;=1, 5/6, Y$24-$I182 &lt;=5, (7-(Y$24-$I182))/6, AND(Y$24-$I182 =6,NOT(_xlfn.IFNA(ISNUMBER(SEARCH("Rending",$L182)),FALSE))), (7-(Y$24-$I182))/6, AND(Y$24-$I182 &gt;=7,NOT(_xlfn.IFNA(ISNUMBER(SEARCH("Rending",$L182)),FALSE))), 0, Y$24-$I182 =7, (7-(Y$24-1-$I182))/6, Y$24-$I182 =8, (7-(Y$24-2-$I182))/6*2/3, Y$24-$I182 =9, (7-(Y$24-3-$I182))/6*1/3, TRUE, 0)) *
IF(ISNUMBER(SEARCH("Ordinance",$L182)),7/6,1) *
IF(OR(ISNUMBER(SEARCH("Melee",$L182)),ISNUMBER(SEARCH("Bypass",$L182))),1.5,1)</f>
        <v>0</v>
      </c>
      <c r="Z182" s="17" cm="1">
        <f t="array" ref="Z182">$H182 *
IF(ISNUMBER(SEARCH("Rapid",$L182)),7/6,1) *
IF(OR(ISNUMBER(SEARCH("Beam",$L182)),ISNUMBER(SEARCH("Firestorm",$L182))),1, IF(ISNUMBER(SEARCH("Blast",$L182)),(4+$F182+(2-$F182)*0.5)/6*2,(4+$F182)/6)) *
IF(ISNUMBER(SEARCH("Fusion",$L182)), _xlfn.IFS(Z$24-$I182 &lt;=1, 9/10, Z$24-$I182 &lt;=10,(11-(Z$24-$I182))/10, Z$24-$I182 &gt;=11, 0),
_xlfn.IFS(Z$24-$I182 &lt;=1, 5/6, Z$24-$I182 &lt;=5, (7-(Z$24-$I182))/6, AND(Z$24-$I182 =6,NOT(_xlfn.IFNA(ISNUMBER(SEARCH("Rending",$L182)),FALSE))), (7-(Z$24-$I182))/6, AND(Z$24-$I182 &gt;=7,NOT(_xlfn.IFNA(ISNUMBER(SEARCH("Rending",$L182)),FALSE))), 0, Z$24-$I182 =7, (7-(Z$24-1-$I182))/6, Z$24-$I182 =8, (7-(Z$24-2-$I182))/6*2/3, Z$24-$I182 =9, (7-(Z$24-3-$I182))/6*1/3, TRUE, 0)) *
IF(ISNUMBER(SEARCH("Ordinance",$L182)),7/6,1) *
IF(OR(ISNUMBER(SEARCH("Melee",$L182)),ISNUMBER(SEARCH("Bypass",$L182))),1.5,1)</f>
        <v>0</v>
      </c>
      <c r="AA182" s="17" cm="1">
        <f t="array" ref="AA182">$H182 *
IF(ISNUMBER(SEARCH("Rapid",$L182)),7/6,1) *
IF(OR(ISNUMBER(SEARCH("Beam",$L182)),ISNUMBER(SEARCH("Firestorm",$L182))),1, IF(ISNUMBER(SEARCH("Blast",$L182)),(4+$F182+(2-$F182)*0.5)/6*2,(4+$F182)/6)) *
IF(ISNUMBER(SEARCH("Fusion",$L182)), _xlfn.IFS(AA$24-$I182 &lt;=1, 9/10, AA$24-$I182 &lt;=10,(11-(AA$24-$I182))/10, AA$24-$I182 &gt;=11, 0),
_xlfn.IFS(AA$24-$I182 &lt;=1, 5/6, AA$24-$I182 &lt;=5, (7-(AA$24-$I182))/6, AND(AA$24-$I182 =6,NOT(_xlfn.IFNA(ISNUMBER(SEARCH("Rending",$L182)),FALSE))), (7-(AA$24-$I182))/6, AND(AA$24-$I182 &gt;=7,NOT(_xlfn.IFNA(ISNUMBER(SEARCH("Rending",$L182)),FALSE))), 0, AA$24-$I182 =7, (7-(AA$24-1-$I182))/6, AA$24-$I182 =8, (7-(AA$24-2-$I182))/6*2/3, AA$24-$I182 =9, (7-(AA$24-3-$I182))/6*1/3, TRUE, 0)) *
IF(ISNUMBER(SEARCH("Ordinance",$L182)),7/6,1) *
IF(OR(ISNUMBER(SEARCH("Melee",$L182)),ISNUMBER(SEARCH("Bypass",$L182))),1.5,1)</f>
        <v>0</v>
      </c>
      <c r="AB182" s="17" cm="1">
        <f t="array" ref="AB182">$H182 *
IF(ISNUMBER(SEARCH("Rapid",$L182)),7/6,1) *
IF(OR(ISNUMBER(SEARCH("Beam",$L182)),ISNUMBER(SEARCH("Firestorm",$L182))),1, IF(ISNUMBER(SEARCH("Blast",$L182)),(4+$F182+(2-$F182)*0.5)/6*2,(4+$F182)/6)) *
IF(ISNUMBER(SEARCH("Fusion",$L182)), _xlfn.IFS(AB$24-$I182 &lt;=1, 9/10, AB$24-$I182 &lt;=10,(11-(AB$24-$I182))/10, AB$24-$I182 &gt;=11, 0),
_xlfn.IFS(AB$24-$I182 &lt;=1, 5/6, AB$24-$I182 &lt;=5, (7-(AB$24-$I182))/6, AND(AB$24-$I182 =6,NOT(_xlfn.IFNA(ISNUMBER(SEARCH("Rending",$L182)),FALSE))), (7-(AB$24-$I182))/6, AND(AB$24-$I182 &gt;=7,NOT(_xlfn.IFNA(ISNUMBER(SEARCH("Rending",$L182)),FALSE))), 0, AB$24-$I182 =7, (7-(AB$24-1-$I182))/6, AB$24-$I182 =8, (7-(AB$24-2-$I182))/6*2/3, AB$24-$I182 =9, (7-(AB$24-3-$I182))/6*1/3, TRUE, 0)) *
IF(ISNUMBER(SEARCH("Ordinance",$L182)),7/6,1) *
IF(OR(ISNUMBER(SEARCH("Melee",$L182)),ISNUMBER(SEARCH("Bypass",$L182))),1.5,1)</f>
        <v>0</v>
      </c>
      <c r="AC182" s="17" cm="1">
        <f t="array" ref="AC182">$H182 *
IF(ISNUMBER(SEARCH("Rapid",$L182)),7/6,1) *
IF(OR(ISNUMBER(SEARCH("Beam",$L182)),ISNUMBER(SEARCH("Firestorm",$L182))),1, IF(ISNUMBER(SEARCH("Blast",$L182)),(4+$F182+(2-$F182)*0.5)/6*2,(4+$F182)/6)) *
IF(ISNUMBER(SEARCH("Fusion",$L182)), _xlfn.IFS(AC$24-$I182 &lt;=1, 9/10, AC$24-$I182 &lt;=10,(11-(AC$24-$I182))/10, AC$24-$I182 &gt;=11, 0),
_xlfn.IFS(AC$24-$I182 &lt;=1, 5/6, AC$24-$I182 &lt;=5, (7-(AC$24-$I182))/6, AND(AC$24-$I182 =6,NOT(_xlfn.IFNA(ISNUMBER(SEARCH("Rending",$L182)),FALSE))), (7-(AC$24-$I182))/6, AND(AC$24-$I182 &gt;=7,NOT(_xlfn.IFNA(ISNUMBER(SEARCH("Rending",$L182)),FALSE))), 0, AC$24-$I182 =7, (7-(AC$24-1-$I182))/6, AC$24-$I182 =8, (7-(AC$24-2-$I182))/6*2/3, AC$24-$I182 =9, (7-(AC$24-3-$I182))/6*1/3, TRUE, 0)) *
IF(ISNUMBER(SEARCH("Ordinance",$L182)),7/6,1) *
IF(OR(ISNUMBER(SEARCH("Melee",$L182)),ISNUMBER(SEARCH("Bypass",$L182))),1.5,1)</f>
        <v>0</v>
      </c>
      <c r="AD182" s="17" cm="1">
        <f t="array" ref="AD182">$H182 *
IF(ISNUMBER(SEARCH("Rapid",$L182)),7/6,1) *
IF(OR(ISNUMBER(SEARCH("Beam",$L182)),ISNUMBER(SEARCH("Firestorm",$L182))),1, IF(ISNUMBER(SEARCH("Blast",$L182)),(4+$F182+(2-$F182)*0.5)/6*2,(4+$F182)/6)) *
IF(ISNUMBER(SEARCH("Fusion",$L182)), _xlfn.IFS(AD$24-$I182 &lt;=1, 9/10, AD$24-$I182 &lt;=10,(11-(AD$24-$I182))/10, AD$24-$I182 &gt;=11, 0),
_xlfn.IFS(AD$24-$I182 &lt;=1, 5/6, AD$24-$I182 &lt;=5, (7-(AD$24-$I182))/6, AND(AD$24-$I182 =6,NOT(_xlfn.IFNA(ISNUMBER(SEARCH("Rending",$L182)),FALSE))), (7-(AD$24-$I182))/6, AND(AD$24-$I182 &gt;=7,NOT(_xlfn.IFNA(ISNUMBER(SEARCH("Rending",$L182)),FALSE))), 0, AD$24-$I182 =7, (7-(AD$24-1-$I182))/6, AD$24-$I182 =8, (7-(AD$24-2-$I182))/6*2/3, AD$24-$I182 =9, (7-(AD$24-3-$I182))/6*1/3, TRUE, 0)) *
IF(ISNUMBER(SEARCH("Ordinance",$L182)),7/6,1) *
IF(OR(ISNUMBER(SEARCH("Melee",$L182)),ISNUMBER(SEARCH("Bypass",$L182))),1.5,1)</f>
        <v>0</v>
      </c>
      <c r="AE182" s="17" cm="1">
        <f t="array" ref="AE182">$H182 *
IF(ISNUMBER(SEARCH("Rapid",$L182)),7/6,1) *
IF(OR(ISNUMBER(SEARCH("Beam",$L182)),ISNUMBER(SEARCH("Firestorm",$L182))),1, IF(ISNUMBER(SEARCH("Blast",$L182)),(4+$F182+(2-$F182)*0.5)/6*2,(4+$F182)/6)) *
IF(ISNUMBER(SEARCH("Fusion",$L182)), _xlfn.IFS(AE$24-$I182 &lt;=1, 9/10, AE$24-$I182 &lt;=10,(11-(AE$24-$I182))/10, AE$24-$I182 &gt;=11, 0),
_xlfn.IFS(AE$24-$I182 &lt;=1, 5/6, AE$24-$I182 &lt;=5, (7-(AE$24-$I182))/6, AND(AE$24-$I182 =6,NOT(_xlfn.IFNA(ISNUMBER(SEARCH("Rending",$L182)),FALSE))), (7-(AE$24-$I182))/6, AND(AE$24-$I182 &gt;=7,NOT(_xlfn.IFNA(ISNUMBER(SEARCH("Rending",$L182)),FALSE))), 0, AE$24-$I182 =7, (7-(AE$24-1-$I182))/6, AE$24-$I182 =8, (7-(AE$24-2-$I182))/6*2/3, AE$24-$I182 =9, (7-(AE$24-3-$I182))/6*1/3, TRUE, 0)) *
IF(ISNUMBER(SEARCH("Ordinance",$L182)),7/6,1) *
IF(OR(ISNUMBER(SEARCH("Melee",$L182)),ISNUMBER(SEARCH("Bypass",$L182))),1.5,1)</f>
        <v>0</v>
      </c>
      <c r="AF182" s="17" cm="1">
        <f t="array" ref="AF182">$H182 *
IF(ISNUMBER(SEARCH("Rapid",$L182)),7/6,1) *
IF(OR(ISNUMBER(SEARCH("Beam",$L182)),ISNUMBER(SEARCH("Firestorm",$L182))),1, IF(ISNUMBER(SEARCH("Blast",$L182)),(4+$F182+(2-$F182)*0.5)/6*2,(4+$F182)/6)) *
IF(ISNUMBER(SEARCH("Fusion",$L182)), _xlfn.IFS(AF$24-$I182 &lt;=1, 9/10, AF$24-$I182 &lt;=10,(11-(AF$24-$I182))/10, AF$24-$I182 &gt;=11, 0),
_xlfn.IFS(AF$24-$I182 &lt;=1, 5/6, AF$24-$I182 &lt;=5, (7-(AF$24-$I182))/6, AND(AF$24-$I182 =6,NOT(_xlfn.IFNA(ISNUMBER(SEARCH("Rending",$L182)),FALSE))), (7-(AF$24-$I182))/6, AND(AF$24-$I182 &gt;=7,NOT(_xlfn.IFNA(ISNUMBER(SEARCH("Rending",$L182)),FALSE))), 0, AF$24-$I182 =7, (7-(AF$24-1-$I182))/6, AF$24-$I182 =8, (7-(AF$24-2-$I182))/6*2/3, AF$24-$I182 =9, (7-(AF$24-3-$I182))/6*1/3, TRUE, 0)) *
IF(ISNUMBER(SEARCH("Ordinance",$L182)),7/6,1) *
IF(OR(ISNUMBER(SEARCH("Melee",$L182)),ISNUMBER(SEARCH("Bypass",$L182))),1.5,1)</f>
        <v>0</v>
      </c>
      <c r="AG182" s="16">
        <f t="shared" si="35"/>
        <v>0</v>
      </c>
      <c r="AH182" s="16">
        <f t="shared" si="36"/>
        <v>0</v>
      </c>
      <c r="AI182" s="17" cm="1">
        <f t="array" ref="AI182">$H182 *
IF(ISNUMBER(SEARCH("Rapid",$L182)),7/6,1) *
IF(OR(ISNUMBER(SEARCH("Beam",$L182)),ISNUMBER(SEARCH("Firestorm",$L182))),1, IF(ISNUMBER(SEARCH("Blast",$L182)),(4+$G182+(2-$G182)*0.5)/6*2,(4+$G182)/6)) *
_xlfn.IFS(AI$24-$I182 &lt;=1, 5/6, AI$24-$I182 &lt;=5, (7-(AI$24-$I182))/6, AND(AI$24-$I182 =6,NOT(_xlfn.IFNA(ISNUMBER(SEARCH("Rending",$L182)),FALSE))), (7-(AI$24-$I182))/6, AND(AI$24-$I182 &gt;=7,NOT(_xlfn.IFNA(ISNUMBER(SEARCH("Rending",$L182)),FALSE))), 0, AI$24-$I182 =7, (7-(AI$24-1-$I182))/6, AI$24-$I182 =8, (7-(AI$24-2-$I182))/6*2/3, AI$24-$I182 =9, (7-(AI$24-3-$I182))/6*1/3, TRUE, 0) *
IF(ISNUMBER(SEARCH("Ordinance",$L182)),7/6,1) *
IF(OR(ISNUMBER(SEARCH("Melee",$L182)),ISNUMBER(SEARCH("Bypass",$L182))),1.5,1)</f>
        <v>0</v>
      </c>
      <c r="AJ182" s="17" cm="1">
        <f t="array" ref="AJ182">$H182 *
IF(ISNUMBER(SEARCH("Rapid",$L182)),7/6,1) *
IF(OR(ISNUMBER(SEARCH("Beam",$L182)),ISNUMBER(SEARCH("Firestorm",$L182))),1, IF(ISNUMBER(SEARCH("Blast",$L182)),(4+$G182+(2-$G182)*0.5)/6*2,(4+$G182)/6)) *
_xlfn.IFS(AJ$24-$I182 &lt;=1, 5/6, AJ$24-$I182 &lt;=5, (7-(AJ$24-$I182))/6, AND(AJ$24-$I182 =6,NOT(_xlfn.IFNA(ISNUMBER(SEARCH("Rending",$L182)),FALSE))), (7-(AJ$24-$I182))/6, AND(AJ$24-$I182 &gt;=7,NOT(_xlfn.IFNA(ISNUMBER(SEARCH("Rending",$L182)),FALSE))), 0, AJ$24-$I182 =7, (7-(AJ$24-1-$I182))/6, AJ$24-$I182 =8, (7-(AJ$24-2-$I182))/6*2/3, AJ$24-$I182 =9, (7-(AJ$24-3-$I182))/6*1/3, TRUE, 0) *
IF(ISNUMBER(SEARCH("Ordinance",$L182)),7/6,1) *
IF(OR(ISNUMBER(SEARCH("Melee",$L182)),ISNUMBER(SEARCH("Bypass",$L182))),1.5,1)</f>
        <v>0</v>
      </c>
      <c r="AK182" s="17" cm="1">
        <f t="array" ref="AK182">$H182 *
IF(ISNUMBER(SEARCH("Rapid",$L182)),7/6,1) *
IF(OR(ISNUMBER(SEARCH("Beam",$L182)),ISNUMBER(SEARCH("Firestorm",$L182))),1, IF(ISNUMBER(SEARCH("Blast",$L182)),(4+$G182+(2-$G182)*0.5)/6*2,(4+$G182)/6)) *
_xlfn.IFS(AK$24-$I182 &lt;=1, 5/6, AK$24-$I182 &lt;=5, (7-(AK$24-$I182))/6, AND(AK$24-$I182 =6,NOT(_xlfn.IFNA(ISNUMBER(SEARCH("Rending",$L182)),FALSE))), (7-(AK$24-$I182))/6, AND(AK$24-$I182 &gt;=7,NOT(_xlfn.IFNA(ISNUMBER(SEARCH("Rending",$L182)),FALSE))), 0, AK$24-$I182 =7, (7-(AK$24-1-$I182))/6, AK$24-$I182 =8, (7-(AK$24-2-$I182))/6*2/3, AK$24-$I182 =9, (7-(AK$24-3-$I182))/6*1/3, TRUE, 0) *
IF(ISNUMBER(SEARCH("Ordinance",$L182)),7/6,1) *
IF(OR(ISNUMBER(SEARCH("Melee",$L182)),ISNUMBER(SEARCH("Bypass",$L182))),1.5,1)</f>
        <v>0</v>
      </c>
      <c r="AL182" s="17" cm="1">
        <f t="array" ref="AL182">$H182 *
IF(ISNUMBER(SEARCH("Rapid",$L182)),7/6,1) *
IF(OR(ISNUMBER(SEARCH("Beam",$L182)),ISNUMBER(SEARCH("Firestorm",$L182))),1, IF(ISNUMBER(SEARCH("Blast",$L182)),(4+$G182+(2-$G182)*0.5)/6*2,(4+$G182)/6)) *
_xlfn.IFS(AL$24-$I182 &lt;=1, 5/6, AL$24-$I182 &lt;=5, (7-(AL$24-$I182))/6, AND(AL$24-$I182 =6,NOT(_xlfn.IFNA(ISNUMBER(SEARCH("Rending",$L182)),FALSE))), (7-(AL$24-$I182))/6, AND(AL$24-$I182 &gt;=7,NOT(_xlfn.IFNA(ISNUMBER(SEARCH("Rending",$L182)),FALSE))), 0, AL$24-$I182 =7, (7-(AL$24-1-$I182))/6, AL$24-$I182 =8, (7-(AL$24-2-$I182))/6*2/3, AL$24-$I182 =9, (7-(AL$24-3-$I182))/6*1/3, TRUE, 0) *
IF(ISNUMBER(SEARCH("Ordinance",$L182)),7/6,1) *
IF(OR(ISNUMBER(SEARCH("Melee",$L182)),ISNUMBER(SEARCH("Bypass",$L182))),1.5,1)</f>
        <v>0</v>
      </c>
      <c r="AM182" s="17" cm="1">
        <f t="array" ref="AM182">$H182 *
IF(ISNUMBER(SEARCH("Rapid",$L182)),7/6,1) *
IF(OR(ISNUMBER(SEARCH("Beam",$L182)),ISNUMBER(SEARCH("Firestorm",$L182))),1, IF(ISNUMBER(SEARCH("Blast",$L182)),(4+$G182+(2-$G182)*0.5)/6*2,(4+$G182)/6)) *
_xlfn.IFS(AM$24-$I182 &lt;=1, 5/6, AM$24-$I182 &lt;=5, (7-(AM$24-$I182))/6, AND(AM$24-$I182 =6,NOT(_xlfn.IFNA(ISNUMBER(SEARCH("Rending",$L182)),FALSE))), (7-(AM$24-$I182))/6, AND(AM$24-$I182 &gt;=7,NOT(_xlfn.IFNA(ISNUMBER(SEARCH("Rending",$L182)),FALSE))), 0, AM$24-$I182 =7, (7-(AM$24-1-$I182))/6, AM$24-$I182 =8, (7-(AM$24-2-$I182))/6*2/3, AM$24-$I182 =9, (7-(AM$24-3-$I182))/6*1/3, TRUE, 0) *
IF(ISNUMBER(SEARCH("Ordinance",$L182)),7/6,1) *
IF(OR(ISNUMBER(SEARCH("Melee",$L182)),ISNUMBER(SEARCH("Bypass",$L182))),1.5,1)</f>
        <v>0</v>
      </c>
      <c r="AN182" s="17" cm="1">
        <f t="array" ref="AN182">$H182 *
IF(ISNUMBER(SEARCH("Rapid",$L182)),7/6,1) *
IF(OR(ISNUMBER(SEARCH("Beam",$L182)),ISNUMBER(SEARCH("Firestorm",$L182))),1, IF(ISNUMBER(SEARCH("Blast",$L182)),(4+$G182+(2-$G182)*0.5)/6*2,(4+$G182)/6)) *
_xlfn.IFS(AN$24-$I182 &lt;=1, 5/6, AN$24-$I182 &lt;=5, (7-(AN$24-$I182))/6, AND(AN$24-$I182 =6,NOT(_xlfn.IFNA(ISNUMBER(SEARCH("Rending",$L182)),FALSE))), (7-(AN$24-$I182))/6, AND(AN$24-$I182 &gt;=7,NOT(_xlfn.IFNA(ISNUMBER(SEARCH("Rending",$L182)),FALSE))), 0, AN$24-$I182 =7, (7-(AN$24-1-$I182))/6, AN$24-$I182 =8, (7-(AN$24-2-$I182))/6*2/3, AN$24-$I182 =9, (7-(AN$24-3-$I182))/6*1/3, TRUE, 0) *
IF(ISNUMBER(SEARCH("Ordinance",$L182)),7/6,1) *
IF(OR(ISNUMBER(SEARCH("Melee",$L182)),ISNUMBER(SEARCH("Bypass",$L182))),1.5,1)</f>
        <v>0</v>
      </c>
      <c r="AO182" s="17" cm="1">
        <f t="array" ref="AO182">$H182 *
IF(ISNUMBER(SEARCH("Rapid",$L182)),7/6,1) *
IF(OR(ISNUMBER(SEARCH("Beam",$L182)),ISNUMBER(SEARCH("Firestorm",$L182))),1, IF(ISNUMBER(SEARCH("Blast",$L182)),(4+$G182+(2-$G182)*0.5)/6*2,(4+$G182)/6)) *
_xlfn.IFS(AO$24-$I182 &lt;=1, 5/6, AO$24-$I182 &lt;=5, (7-(AO$24-$I182))/6, AND(AO$24-$I182 =6,NOT(_xlfn.IFNA(ISNUMBER(SEARCH("Rending",$L182)),FALSE))), (7-(AO$24-$I182))/6, AND(AO$24-$I182 &gt;=7,NOT(_xlfn.IFNA(ISNUMBER(SEARCH("Rending",$L182)),FALSE))), 0, AO$24-$I182 =7, (7-(AO$24-1-$I182))/6, AO$24-$I182 =8, (7-(AO$24-2-$I182))/6*2/3, AO$24-$I182 =9, (7-(AO$24-3-$I182))/6*1/3, TRUE, 0) *
IF(ISNUMBER(SEARCH("Ordinance",$L182)),7/6,1) *
IF(OR(ISNUMBER(SEARCH("Melee",$L182)),ISNUMBER(SEARCH("Bypass",$L182))),1.5,1)</f>
        <v>0</v>
      </c>
      <c r="AP182" s="17" cm="1">
        <f t="array" ref="AP182">$H182 *
IF(ISNUMBER(SEARCH("Rapid",$L182)),7/6,1) *
IF(OR(ISNUMBER(SEARCH("Beam",$L182)),ISNUMBER(SEARCH("Firestorm",$L182))),1, IF(ISNUMBER(SEARCH("Blast",$L182)),(4+$G182+(2-$G182)*0.5)/6*2,(4+$G182)/6)) *
_xlfn.IFS(AP$24-$I182 &lt;=1, 5/6, AP$24-$I182 &lt;=5, (7-(AP$24-$I182))/6, AND(AP$24-$I182 =6,NOT(_xlfn.IFNA(ISNUMBER(SEARCH("Rending",$L182)),FALSE))), (7-(AP$24-$I182))/6, AND(AP$24-$I182 &gt;=7,NOT(_xlfn.IFNA(ISNUMBER(SEARCH("Rending",$L182)),FALSE))), 0, AP$24-$I182 =7, (7-(AP$24-1-$I182))/6, AP$24-$I182 =8, (7-(AP$24-2-$I182))/6*2/3, AP$24-$I182 =9, (7-(AP$24-3-$I182))/6*1/3, TRUE, 0) *
IF(ISNUMBER(SEARCH("Ordinance",$L182)),7/6,1) *
IF(OR(ISNUMBER(SEARCH("Melee",$L182)),ISNUMBER(SEARCH("Bypass",$L182))),1.5,1)</f>
        <v>0</v>
      </c>
      <c r="AQ182" s="17" cm="1">
        <f t="array" ref="AQ182">$H182 *
IF(ISNUMBER(SEARCH("Rapid",$L182)),7/6,1) *
IF(OR(ISNUMBER(SEARCH("Beam",$L182)),ISNUMBER(SEARCH("Firestorm",$L182))),1, IF(ISNUMBER(SEARCH("Blast",$L182)),(4+$G182+(2-$G182)*0.5)/6*2,(4+$G182)/6)) *
_xlfn.IFS(AQ$24-$I182 &lt;=1, 5/6, AQ$24-$I182 &lt;=5, (7-(AQ$24-$I182))/6, AND(AQ$24-$I182 =6,NOT(_xlfn.IFNA(ISNUMBER(SEARCH("Rending",$L182)),FALSE))), (7-(AQ$24-$I182))/6, AND(AQ$24-$I182 &gt;=7,NOT(_xlfn.IFNA(ISNUMBER(SEARCH("Rending",$L182)),FALSE))), 0, AQ$24-$I182 =7, (7-(AQ$24-1-$I182))/6, AQ$24-$I182 =8, (7-(AQ$24-2-$I182))/6*2/3, AQ$24-$I182 =9, (7-(AQ$24-3-$I182))/6*1/3, TRUE, 0) *
IF(ISNUMBER(SEARCH("Ordinance",$L182)),7/6,1) *
IF(OR(ISNUMBER(SEARCH("Melee",$L182)),ISNUMBER(SEARCH("Bypass",$L182))),1.5,1)</f>
        <v>0</v>
      </c>
    </row>
    <row r="183" spans="1:48" x14ac:dyDescent="0.3">
      <c r="A183" t="s">
        <v>620</v>
      </c>
      <c r="B183" s="3">
        <v>6</v>
      </c>
      <c r="C183" s="3">
        <v>48</v>
      </c>
      <c r="D183" s="3">
        <v>0</v>
      </c>
      <c r="E183" s="3">
        <v>2</v>
      </c>
      <c r="F183" s="10">
        <v>1</v>
      </c>
      <c r="G183" s="10"/>
      <c r="H183" s="3">
        <v>4</v>
      </c>
      <c r="I183" s="3">
        <v>8</v>
      </c>
      <c r="K183" s="3">
        <v>35</v>
      </c>
      <c r="L183" s="3" t="s">
        <v>647</v>
      </c>
      <c r="M183" s="3" t="s">
        <v>225</v>
      </c>
      <c r="V183" s="16">
        <f t="shared" si="33"/>
        <v>2.4444444444444442</v>
      </c>
      <c r="W183" s="16">
        <f t="shared" si="34"/>
        <v>3.6666666666666665</v>
      </c>
      <c r="X183" s="17" cm="1">
        <f t="array" ref="X183">$H183 *
IF(ISNUMBER(SEARCH("Rapid",$L183)),7/6,1) *
IF(OR(ISNUMBER(SEARCH("Beam",$L183)),ISNUMBER(SEARCH("Firestorm",$L183))),1, IF(ISNUMBER(SEARCH("Blast",$L183)),(4+$F183+(2-$F183)*0.5)/6*2,(4+$F183)/6)) *
IF(ISNUMBER(SEARCH("Fusion",$L183)), _xlfn.IFS(X$24-$I183 &lt;=1, 9/10, X$24-$I183 &lt;=10,(11-(X$24-$I183))/10, X$24-$I183 &gt;=11, 0),
_xlfn.IFS(X$24-$I183 &lt;=1, 5/6, X$24-$I183 &lt;=5, (7-(X$24-$I183))/6, AND(X$24-$I183 =6,NOT(_xlfn.IFNA(ISNUMBER(SEARCH("Rending",$L183)),FALSE))), (7-(X$24-$I183))/6, AND(X$24-$I183 &gt;=7,NOT(_xlfn.IFNA(ISNUMBER(SEARCH("Rending",$L183)),FALSE))), 0, X$24-$I183 =7, (7-(X$24-1-$I183))/6, X$24-$I183 =8, (7-(X$24-2-$I183))/6*2/3, X$24-$I183 =9, (7-(X$24-3-$I183))/6*1/3, TRUE, 0)) *
IF(ISNUMBER(SEARCH("Ordinance",$L183)),7/6,1) *
IF(OR(ISNUMBER(SEARCH("Melee",$L183)),ISNUMBER(SEARCH("Bypass",$L183))),1.5,1)</f>
        <v>6.1111111111111107</v>
      </c>
      <c r="Y183" s="17" cm="1">
        <f t="array" ref="Y183">$H183 *
IF(ISNUMBER(SEARCH("Rapid",$L183)),7/6,1) *
IF(OR(ISNUMBER(SEARCH("Beam",$L183)),ISNUMBER(SEARCH("Firestorm",$L183))),1, IF(ISNUMBER(SEARCH("Blast",$L183)),(4+$F183+(2-$F183)*0.5)/6*2,(4+$F183)/6)) *
IF(ISNUMBER(SEARCH("Fusion",$L183)), _xlfn.IFS(Y$24-$I183 &lt;=1, 9/10, Y$24-$I183 &lt;=10,(11-(Y$24-$I183))/10, Y$24-$I183 &gt;=11, 0),
_xlfn.IFS(Y$24-$I183 &lt;=1, 5/6, Y$24-$I183 &lt;=5, (7-(Y$24-$I183))/6, AND(Y$24-$I183 =6,NOT(_xlfn.IFNA(ISNUMBER(SEARCH("Rending",$L183)),FALSE))), (7-(Y$24-$I183))/6, AND(Y$24-$I183 &gt;=7,NOT(_xlfn.IFNA(ISNUMBER(SEARCH("Rending",$L183)),FALSE))), 0, Y$24-$I183 =7, (7-(Y$24-1-$I183))/6, Y$24-$I183 =8, (7-(Y$24-2-$I183))/6*2/3, Y$24-$I183 =9, (7-(Y$24-3-$I183))/6*1/3, TRUE, 0)) *
IF(ISNUMBER(SEARCH("Ordinance",$L183)),7/6,1) *
IF(OR(ISNUMBER(SEARCH("Melee",$L183)),ISNUMBER(SEARCH("Bypass",$L183))),1.5,1)</f>
        <v>6.1111111111111107</v>
      </c>
      <c r="Z183" s="17" cm="1">
        <f t="array" ref="Z183">$H183 *
IF(ISNUMBER(SEARCH("Rapid",$L183)),7/6,1) *
IF(OR(ISNUMBER(SEARCH("Beam",$L183)),ISNUMBER(SEARCH("Firestorm",$L183))),1, IF(ISNUMBER(SEARCH("Blast",$L183)),(4+$F183+(2-$F183)*0.5)/6*2,(4+$F183)/6)) *
IF(ISNUMBER(SEARCH("Fusion",$L183)), _xlfn.IFS(Z$24-$I183 &lt;=1, 9/10, Z$24-$I183 &lt;=10,(11-(Z$24-$I183))/10, Z$24-$I183 &gt;=11, 0),
_xlfn.IFS(Z$24-$I183 &lt;=1, 5/6, Z$24-$I183 &lt;=5, (7-(Z$24-$I183))/6, AND(Z$24-$I183 =6,NOT(_xlfn.IFNA(ISNUMBER(SEARCH("Rending",$L183)),FALSE))), (7-(Z$24-$I183))/6, AND(Z$24-$I183 &gt;=7,NOT(_xlfn.IFNA(ISNUMBER(SEARCH("Rending",$L183)),FALSE))), 0, Z$24-$I183 =7, (7-(Z$24-1-$I183))/6, Z$24-$I183 =8, (7-(Z$24-2-$I183))/6*2/3, Z$24-$I183 =9, (7-(Z$24-3-$I183))/6*1/3, TRUE, 0)) *
IF(ISNUMBER(SEARCH("Ordinance",$L183)),7/6,1) *
IF(OR(ISNUMBER(SEARCH("Melee",$L183)),ISNUMBER(SEARCH("Bypass",$L183))),1.5,1)</f>
        <v>4.8888888888888884</v>
      </c>
      <c r="AA183" s="17" cm="1">
        <f t="array" ref="AA183">$H183 *
IF(ISNUMBER(SEARCH("Rapid",$L183)),7/6,1) *
IF(OR(ISNUMBER(SEARCH("Beam",$L183)),ISNUMBER(SEARCH("Firestorm",$L183))),1, IF(ISNUMBER(SEARCH("Blast",$L183)),(4+$F183+(2-$F183)*0.5)/6*2,(4+$F183)/6)) *
IF(ISNUMBER(SEARCH("Fusion",$L183)), _xlfn.IFS(AA$24-$I183 &lt;=1, 9/10, AA$24-$I183 &lt;=10,(11-(AA$24-$I183))/10, AA$24-$I183 &gt;=11, 0),
_xlfn.IFS(AA$24-$I183 &lt;=1, 5/6, AA$24-$I183 &lt;=5, (7-(AA$24-$I183))/6, AND(AA$24-$I183 =6,NOT(_xlfn.IFNA(ISNUMBER(SEARCH("Rending",$L183)),FALSE))), (7-(AA$24-$I183))/6, AND(AA$24-$I183 &gt;=7,NOT(_xlfn.IFNA(ISNUMBER(SEARCH("Rending",$L183)),FALSE))), 0, AA$24-$I183 =7, (7-(AA$24-1-$I183))/6, AA$24-$I183 =8, (7-(AA$24-2-$I183))/6*2/3, AA$24-$I183 =9, (7-(AA$24-3-$I183))/6*1/3, TRUE, 0)) *
IF(ISNUMBER(SEARCH("Ordinance",$L183)),7/6,1) *
IF(OR(ISNUMBER(SEARCH("Melee",$L183)),ISNUMBER(SEARCH("Bypass",$L183))),1.5,1)</f>
        <v>3.6666666666666665</v>
      </c>
      <c r="AB183" s="17" cm="1">
        <f t="array" ref="AB183">$H183 *
IF(ISNUMBER(SEARCH("Rapid",$L183)),7/6,1) *
IF(OR(ISNUMBER(SEARCH("Beam",$L183)),ISNUMBER(SEARCH("Firestorm",$L183))),1, IF(ISNUMBER(SEARCH("Blast",$L183)),(4+$F183+(2-$F183)*0.5)/6*2,(4+$F183)/6)) *
IF(ISNUMBER(SEARCH("Fusion",$L183)), _xlfn.IFS(AB$24-$I183 &lt;=1, 9/10, AB$24-$I183 &lt;=10,(11-(AB$24-$I183))/10, AB$24-$I183 &gt;=11, 0),
_xlfn.IFS(AB$24-$I183 &lt;=1, 5/6, AB$24-$I183 &lt;=5, (7-(AB$24-$I183))/6, AND(AB$24-$I183 =6,NOT(_xlfn.IFNA(ISNUMBER(SEARCH("Rending",$L183)),FALSE))), (7-(AB$24-$I183))/6, AND(AB$24-$I183 &gt;=7,NOT(_xlfn.IFNA(ISNUMBER(SEARCH("Rending",$L183)),FALSE))), 0, AB$24-$I183 =7, (7-(AB$24-1-$I183))/6, AB$24-$I183 =8, (7-(AB$24-2-$I183))/6*2/3, AB$24-$I183 =9, (7-(AB$24-3-$I183))/6*1/3, TRUE, 0)) *
IF(ISNUMBER(SEARCH("Ordinance",$L183)),7/6,1) *
IF(OR(ISNUMBER(SEARCH("Melee",$L183)),ISNUMBER(SEARCH("Bypass",$L183))),1.5,1)</f>
        <v>2.4444444444444442</v>
      </c>
      <c r="AC183" s="17" cm="1">
        <f t="array" ref="AC183">$H183 *
IF(ISNUMBER(SEARCH("Rapid",$L183)),7/6,1) *
IF(OR(ISNUMBER(SEARCH("Beam",$L183)),ISNUMBER(SEARCH("Firestorm",$L183))),1, IF(ISNUMBER(SEARCH("Blast",$L183)),(4+$F183+(2-$F183)*0.5)/6*2,(4+$F183)/6)) *
IF(ISNUMBER(SEARCH("Fusion",$L183)), _xlfn.IFS(AC$24-$I183 &lt;=1, 9/10, AC$24-$I183 &lt;=10,(11-(AC$24-$I183))/10, AC$24-$I183 &gt;=11, 0),
_xlfn.IFS(AC$24-$I183 &lt;=1, 5/6, AC$24-$I183 &lt;=5, (7-(AC$24-$I183))/6, AND(AC$24-$I183 =6,NOT(_xlfn.IFNA(ISNUMBER(SEARCH("Rending",$L183)),FALSE))), (7-(AC$24-$I183))/6, AND(AC$24-$I183 &gt;=7,NOT(_xlfn.IFNA(ISNUMBER(SEARCH("Rending",$L183)),FALSE))), 0, AC$24-$I183 =7, (7-(AC$24-1-$I183))/6, AC$24-$I183 =8, (7-(AC$24-2-$I183))/6*2/3, AC$24-$I183 =9, (7-(AC$24-3-$I183))/6*1/3, TRUE, 0)) *
IF(ISNUMBER(SEARCH("Ordinance",$L183)),7/6,1) *
IF(OR(ISNUMBER(SEARCH("Melee",$L183)),ISNUMBER(SEARCH("Bypass",$L183))),1.5,1)</f>
        <v>1.2222222222222221</v>
      </c>
      <c r="AD183" s="17" cm="1">
        <f t="array" ref="AD183">$H183 *
IF(ISNUMBER(SEARCH("Rapid",$L183)),7/6,1) *
IF(OR(ISNUMBER(SEARCH("Beam",$L183)),ISNUMBER(SEARCH("Firestorm",$L183))),1, IF(ISNUMBER(SEARCH("Blast",$L183)),(4+$F183+(2-$F183)*0.5)/6*2,(4+$F183)/6)) *
IF(ISNUMBER(SEARCH("Fusion",$L183)), _xlfn.IFS(AD$24-$I183 &lt;=1, 9/10, AD$24-$I183 &lt;=10,(11-(AD$24-$I183))/10, AD$24-$I183 &gt;=11, 0),
_xlfn.IFS(AD$24-$I183 &lt;=1, 5/6, AD$24-$I183 &lt;=5, (7-(AD$24-$I183))/6, AND(AD$24-$I183 =6,NOT(_xlfn.IFNA(ISNUMBER(SEARCH("Rending",$L183)),FALSE))), (7-(AD$24-$I183))/6, AND(AD$24-$I183 &gt;=7,NOT(_xlfn.IFNA(ISNUMBER(SEARCH("Rending",$L183)),FALSE))), 0, AD$24-$I183 =7, (7-(AD$24-1-$I183))/6, AD$24-$I183 =8, (7-(AD$24-2-$I183))/6*2/3, AD$24-$I183 =9, (7-(AD$24-3-$I183))/6*1/3, TRUE, 0)) *
IF(ISNUMBER(SEARCH("Ordinance",$L183)),7/6,1) *
IF(OR(ISNUMBER(SEARCH("Melee",$L183)),ISNUMBER(SEARCH("Bypass",$L183))),1.5,1)</f>
        <v>0</v>
      </c>
      <c r="AE183" s="17" cm="1">
        <f t="array" ref="AE183">$H183 *
IF(ISNUMBER(SEARCH("Rapid",$L183)),7/6,1) *
IF(OR(ISNUMBER(SEARCH("Beam",$L183)),ISNUMBER(SEARCH("Firestorm",$L183))),1, IF(ISNUMBER(SEARCH("Blast",$L183)),(4+$F183+(2-$F183)*0.5)/6*2,(4+$F183)/6)) *
IF(ISNUMBER(SEARCH("Fusion",$L183)), _xlfn.IFS(AE$24-$I183 &lt;=1, 9/10, AE$24-$I183 &lt;=10,(11-(AE$24-$I183))/10, AE$24-$I183 &gt;=11, 0),
_xlfn.IFS(AE$24-$I183 &lt;=1, 5/6, AE$24-$I183 &lt;=5, (7-(AE$24-$I183))/6, AND(AE$24-$I183 =6,NOT(_xlfn.IFNA(ISNUMBER(SEARCH("Rending",$L183)),FALSE))), (7-(AE$24-$I183))/6, AND(AE$24-$I183 &gt;=7,NOT(_xlfn.IFNA(ISNUMBER(SEARCH("Rending",$L183)),FALSE))), 0, AE$24-$I183 =7, (7-(AE$24-1-$I183))/6, AE$24-$I183 =8, (7-(AE$24-2-$I183))/6*2/3, AE$24-$I183 =9, (7-(AE$24-3-$I183))/6*1/3, TRUE, 0)) *
IF(ISNUMBER(SEARCH("Ordinance",$L183)),7/6,1) *
IF(OR(ISNUMBER(SEARCH("Melee",$L183)),ISNUMBER(SEARCH("Bypass",$L183))),1.5,1)</f>
        <v>0</v>
      </c>
      <c r="AF183" s="17" cm="1">
        <f t="array" ref="AF183">$H183 *
IF(ISNUMBER(SEARCH("Rapid",$L183)),7/6,1) *
IF(OR(ISNUMBER(SEARCH("Beam",$L183)),ISNUMBER(SEARCH("Firestorm",$L183))),1, IF(ISNUMBER(SEARCH("Blast",$L183)),(4+$F183+(2-$F183)*0.5)/6*2,(4+$F183)/6)) *
IF(ISNUMBER(SEARCH("Fusion",$L183)), _xlfn.IFS(AF$24-$I183 &lt;=1, 9/10, AF$24-$I183 &lt;=10,(11-(AF$24-$I183))/10, AF$24-$I183 &gt;=11, 0),
_xlfn.IFS(AF$24-$I183 &lt;=1, 5/6, AF$24-$I183 &lt;=5, (7-(AF$24-$I183))/6, AND(AF$24-$I183 =6,NOT(_xlfn.IFNA(ISNUMBER(SEARCH("Rending",$L183)),FALSE))), (7-(AF$24-$I183))/6, AND(AF$24-$I183 &gt;=7,NOT(_xlfn.IFNA(ISNUMBER(SEARCH("Rending",$L183)),FALSE))), 0, AF$24-$I183 =7, (7-(AF$24-1-$I183))/6, AF$24-$I183 =8, (7-(AF$24-2-$I183))/6*2/3, AF$24-$I183 =9, (7-(AF$24-3-$I183))/6*1/3, TRUE, 0)) *
IF(ISNUMBER(SEARCH("Ordinance",$L183)),7/6,1) *
IF(OR(ISNUMBER(SEARCH("Melee",$L183)),ISNUMBER(SEARCH("Bypass",$L183))),1.5,1)</f>
        <v>0</v>
      </c>
      <c r="AG183" s="16">
        <f t="shared" si="35"/>
        <v>2.2222222222222223</v>
      </c>
      <c r="AH183" s="16">
        <f t="shared" si="36"/>
        <v>3.3333333333333335</v>
      </c>
      <c r="AI183" s="17" cm="1">
        <f t="array" ref="AI183">$H183 *
IF(ISNUMBER(SEARCH("Rapid",$L183)),7/6,1) *
IF(OR(ISNUMBER(SEARCH("Beam",$L183)),ISNUMBER(SEARCH("Firestorm",$L183))),1, IF(ISNUMBER(SEARCH("Blast",$L183)),(4+$G183+(2-$G183)*0.5)/6*2,(4+$G183)/6)) *
_xlfn.IFS(AI$24-$I183 &lt;=1, 5/6, AI$24-$I183 &lt;=5, (7-(AI$24-$I183))/6, AND(AI$24-$I183 =6,NOT(_xlfn.IFNA(ISNUMBER(SEARCH("Rending",$L183)),FALSE))), (7-(AI$24-$I183))/6, AND(AI$24-$I183 &gt;=7,NOT(_xlfn.IFNA(ISNUMBER(SEARCH("Rending",$L183)),FALSE))), 0, AI$24-$I183 =7, (7-(AI$24-1-$I183))/6, AI$24-$I183 =8, (7-(AI$24-2-$I183))/6*2/3, AI$24-$I183 =9, (7-(AI$24-3-$I183))/6*1/3, TRUE, 0) *
IF(ISNUMBER(SEARCH("Ordinance",$L183)),7/6,1) *
IF(OR(ISNUMBER(SEARCH("Melee",$L183)),ISNUMBER(SEARCH("Bypass",$L183))),1.5,1)</f>
        <v>5.5555555555555562</v>
      </c>
      <c r="AJ183" s="17" cm="1">
        <f t="array" ref="AJ183">$H183 *
IF(ISNUMBER(SEARCH("Rapid",$L183)),7/6,1) *
IF(OR(ISNUMBER(SEARCH("Beam",$L183)),ISNUMBER(SEARCH("Firestorm",$L183))),1, IF(ISNUMBER(SEARCH("Blast",$L183)),(4+$G183+(2-$G183)*0.5)/6*2,(4+$G183)/6)) *
_xlfn.IFS(AJ$24-$I183 &lt;=1, 5/6, AJ$24-$I183 &lt;=5, (7-(AJ$24-$I183))/6, AND(AJ$24-$I183 =6,NOT(_xlfn.IFNA(ISNUMBER(SEARCH("Rending",$L183)),FALSE))), (7-(AJ$24-$I183))/6, AND(AJ$24-$I183 &gt;=7,NOT(_xlfn.IFNA(ISNUMBER(SEARCH("Rending",$L183)),FALSE))), 0, AJ$24-$I183 =7, (7-(AJ$24-1-$I183))/6, AJ$24-$I183 =8, (7-(AJ$24-2-$I183))/6*2/3, AJ$24-$I183 =9, (7-(AJ$24-3-$I183))/6*1/3, TRUE, 0) *
IF(ISNUMBER(SEARCH("Ordinance",$L183)),7/6,1) *
IF(OR(ISNUMBER(SEARCH("Melee",$L183)),ISNUMBER(SEARCH("Bypass",$L183))),1.5,1)</f>
        <v>5.5555555555555562</v>
      </c>
      <c r="AK183" s="17" cm="1">
        <f t="array" ref="AK183">$H183 *
IF(ISNUMBER(SEARCH("Rapid",$L183)),7/6,1) *
IF(OR(ISNUMBER(SEARCH("Beam",$L183)),ISNUMBER(SEARCH("Firestorm",$L183))),1, IF(ISNUMBER(SEARCH("Blast",$L183)),(4+$G183+(2-$G183)*0.5)/6*2,(4+$G183)/6)) *
_xlfn.IFS(AK$24-$I183 &lt;=1, 5/6, AK$24-$I183 &lt;=5, (7-(AK$24-$I183))/6, AND(AK$24-$I183 =6,NOT(_xlfn.IFNA(ISNUMBER(SEARCH("Rending",$L183)),FALSE))), (7-(AK$24-$I183))/6, AND(AK$24-$I183 &gt;=7,NOT(_xlfn.IFNA(ISNUMBER(SEARCH("Rending",$L183)),FALSE))), 0, AK$24-$I183 =7, (7-(AK$24-1-$I183))/6, AK$24-$I183 =8, (7-(AK$24-2-$I183))/6*2/3, AK$24-$I183 =9, (7-(AK$24-3-$I183))/6*1/3, TRUE, 0) *
IF(ISNUMBER(SEARCH("Ordinance",$L183)),7/6,1) *
IF(OR(ISNUMBER(SEARCH("Melee",$L183)),ISNUMBER(SEARCH("Bypass",$L183))),1.5,1)</f>
        <v>4.4444444444444446</v>
      </c>
      <c r="AL183" s="17" cm="1">
        <f t="array" ref="AL183">$H183 *
IF(ISNUMBER(SEARCH("Rapid",$L183)),7/6,1) *
IF(OR(ISNUMBER(SEARCH("Beam",$L183)),ISNUMBER(SEARCH("Firestorm",$L183))),1, IF(ISNUMBER(SEARCH("Blast",$L183)),(4+$G183+(2-$G183)*0.5)/6*2,(4+$G183)/6)) *
_xlfn.IFS(AL$24-$I183 &lt;=1, 5/6, AL$24-$I183 &lt;=5, (7-(AL$24-$I183))/6, AND(AL$24-$I183 =6,NOT(_xlfn.IFNA(ISNUMBER(SEARCH("Rending",$L183)),FALSE))), (7-(AL$24-$I183))/6, AND(AL$24-$I183 &gt;=7,NOT(_xlfn.IFNA(ISNUMBER(SEARCH("Rending",$L183)),FALSE))), 0, AL$24-$I183 =7, (7-(AL$24-1-$I183))/6, AL$24-$I183 =8, (7-(AL$24-2-$I183))/6*2/3, AL$24-$I183 =9, (7-(AL$24-3-$I183))/6*1/3, TRUE, 0) *
IF(ISNUMBER(SEARCH("Ordinance",$L183)),7/6,1) *
IF(OR(ISNUMBER(SEARCH("Melee",$L183)),ISNUMBER(SEARCH("Bypass",$L183))),1.5,1)</f>
        <v>3.3333333333333335</v>
      </c>
      <c r="AM183" s="17" cm="1">
        <f t="array" ref="AM183">$H183 *
IF(ISNUMBER(SEARCH("Rapid",$L183)),7/6,1) *
IF(OR(ISNUMBER(SEARCH("Beam",$L183)),ISNUMBER(SEARCH("Firestorm",$L183))),1, IF(ISNUMBER(SEARCH("Blast",$L183)),(4+$G183+(2-$G183)*0.5)/6*2,(4+$G183)/6)) *
_xlfn.IFS(AM$24-$I183 &lt;=1, 5/6, AM$24-$I183 &lt;=5, (7-(AM$24-$I183))/6, AND(AM$24-$I183 =6,NOT(_xlfn.IFNA(ISNUMBER(SEARCH("Rending",$L183)),FALSE))), (7-(AM$24-$I183))/6, AND(AM$24-$I183 &gt;=7,NOT(_xlfn.IFNA(ISNUMBER(SEARCH("Rending",$L183)),FALSE))), 0, AM$24-$I183 =7, (7-(AM$24-1-$I183))/6, AM$24-$I183 =8, (7-(AM$24-2-$I183))/6*2/3, AM$24-$I183 =9, (7-(AM$24-3-$I183))/6*1/3, TRUE, 0) *
IF(ISNUMBER(SEARCH("Ordinance",$L183)),7/6,1) *
IF(OR(ISNUMBER(SEARCH("Melee",$L183)),ISNUMBER(SEARCH("Bypass",$L183))),1.5,1)</f>
        <v>2.2222222222222223</v>
      </c>
      <c r="AN183" s="17" cm="1">
        <f t="array" ref="AN183">$H183 *
IF(ISNUMBER(SEARCH("Rapid",$L183)),7/6,1) *
IF(OR(ISNUMBER(SEARCH("Beam",$L183)),ISNUMBER(SEARCH("Firestorm",$L183))),1, IF(ISNUMBER(SEARCH("Blast",$L183)),(4+$G183+(2-$G183)*0.5)/6*2,(4+$G183)/6)) *
_xlfn.IFS(AN$24-$I183 &lt;=1, 5/6, AN$24-$I183 &lt;=5, (7-(AN$24-$I183))/6, AND(AN$24-$I183 =6,NOT(_xlfn.IFNA(ISNUMBER(SEARCH("Rending",$L183)),FALSE))), (7-(AN$24-$I183))/6, AND(AN$24-$I183 &gt;=7,NOT(_xlfn.IFNA(ISNUMBER(SEARCH("Rending",$L183)),FALSE))), 0, AN$24-$I183 =7, (7-(AN$24-1-$I183))/6, AN$24-$I183 =8, (7-(AN$24-2-$I183))/6*2/3, AN$24-$I183 =9, (7-(AN$24-3-$I183))/6*1/3, TRUE, 0) *
IF(ISNUMBER(SEARCH("Ordinance",$L183)),7/6,1) *
IF(OR(ISNUMBER(SEARCH("Melee",$L183)),ISNUMBER(SEARCH("Bypass",$L183))),1.5,1)</f>
        <v>1.1111111111111112</v>
      </c>
      <c r="AO183" s="17" cm="1">
        <f t="array" ref="AO183">$H183 *
IF(ISNUMBER(SEARCH("Rapid",$L183)),7/6,1) *
IF(OR(ISNUMBER(SEARCH("Beam",$L183)),ISNUMBER(SEARCH("Firestorm",$L183))),1, IF(ISNUMBER(SEARCH("Blast",$L183)),(4+$G183+(2-$G183)*0.5)/6*2,(4+$G183)/6)) *
_xlfn.IFS(AO$24-$I183 &lt;=1, 5/6, AO$24-$I183 &lt;=5, (7-(AO$24-$I183))/6, AND(AO$24-$I183 =6,NOT(_xlfn.IFNA(ISNUMBER(SEARCH("Rending",$L183)),FALSE))), (7-(AO$24-$I183))/6, AND(AO$24-$I183 &gt;=7,NOT(_xlfn.IFNA(ISNUMBER(SEARCH("Rending",$L183)),FALSE))), 0, AO$24-$I183 =7, (7-(AO$24-1-$I183))/6, AO$24-$I183 =8, (7-(AO$24-2-$I183))/6*2/3, AO$24-$I183 =9, (7-(AO$24-3-$I183))/6*1/3, TRUE, 0) *
IF(ISNUMBER(SEARCH("Ordinance",$L183)),7/6,1) *
IF(OR(ISNUMBER(SEARCH("Melee",$L183)),ISNUMBER(SEARCH("Bypass",$L183))),1.5,1)</f>
        <v>0</v>
      </c>
      <c r="AP183" s="17" cm="1">
        <f t="array" ref="AP183">$H183 *
IF(ISNUMBER(SEARCH("Rapid",$L183)),7/6,1) *
IF(OR(ISNUMBER(SEARCH("Beam",$L183)),ISNUMBER(SEARCH("Firestorm",$L183))),1, IF(ISNUMBER(SEARCH("Blast",$L183)),(4+$G183+(2-$G183)*0.5)/6*2,(4+$G183)/6)) *
_xlfn.IFS(AP$24-$I183 &lt;=1, 5/6, AP$24-$I183 &lt;=5, (7-(AP$24-$I183))/6, AND(AP$24-$I183 =6,NOT(_xlfn.IFNA(ISNUMBER(SEARCH("Rending",$L183)),FALSE))), (7-(AP$24-$I183))/6, AND(AP$24-$I183 &gt;=7,NOT(_xlfn.IFNA(ISNUMBER(SEARCH("Rending",$L183)),FALSE))), 0, AP$24-$I183 =7, (7-(AP$24-1-$I183))/6, AP$24-$I183 =8, (7-(AP$24-2-$I183))/6*2/3, AP$24-$I183 =9, (7-(AP$24-3-$I183))/6*1/3, TRUE, 0) *
IF(ISNUMBER(SEARCH("Ordinance",$L183)),7/6,1) *
IF(OR(ISNUMBER(SEARCH("Melee",$L183)),ISNUMBER(SEARCH("Bypass",$L183))),1.5,1)</f>
        <v>0</v>
      </c>
      <c r="AQ183" s="17" cm="1">
        <f t="array" ref="AQ183">$H183 *
IF(ISNUMBER(SEARCH("Rapid",$L183)),7/6,1) *
IF(OR(ISNUMBER(SEARCH("Beam",$L183)),ISNUMBER(SEARCH("Firestorm",$L183))),1, IF(ISNUMBER(SEARCH("Blast",$L183)),(4+$G183+(2-$G183)*0.5)/6*2,(4+$G183)/6)) *
_xlfn.IFS(AQ$24-$I183 &lt;=1, 5/6, AQ$24-$I183 &lt;=5, (7-(AQ$24-$I183))/6, AND(AQ$24-$I183 =6,NOT(_xlfn.IFNA(ISNUMBER(SEARCH("Rending",$L183)),FALSE))), (7-(AQ$24-$I183))/6, AND(AQ$24-$I183 &gt;=7,NOT(_xlfn.IFNA(ISNUMBER(SEARCH("Rending",$L183)),FALSE))), 0, AQ$24-$I183 =7, (7-(AQ$24-1-$I183))/6, AQ$24-$I183 =8, (7-(AQ$24-2-$I183))/6*2/3, AQ$24-$I183 =9, (7-(AQ$24-3-$I183))/6*1/3, TRUE, 0) *
IF(ISNUMBER(SEARCH("Ordinance",$L183)),7/6,1) *
IF(OR(ISNUMBER(SEARCH("Melee",$L183)),ISNUMBER(SEARCH("Bypass",$L183))),1.5,1)</f>
        <v>0</v>
      </c>
      <c r="AS183" s="16">
        <f t="shared" ref="AS183:AS188" si="44">IF($E183=1,AG183*3,IF($E183=2,2*AG183,1.1*AG183))/3</f>
        <v>1.4814814814814816</v>
      </c>
      <c r="AT183" s="16">
        <f t="shared" ref="AT183:AT188" si="45">IF($E183=1,AH183*3,IF($E183=2,2*AH183,1.1*AH183))/3</f>
        <v>2.2222222222222223</v>
      </c>
      <c r="AU183" s="16">
        <f t="shared" ref="AU183:AU188" si="46">IF(D183+E183=3,
 IF(E183=3, 2.5*AI183,
  IF(E183=2, 1.8*AI183+0.7*X183,
   IF(E183=1, 0.95*AI183+1.55*X183,
    2.5*X183))),
 IF(D183+E183=2,
  IF(E183=2, 1.55*AI183,
   IF(E183 =1, 0.85*AI183+0.7*X183,
    1.55*X183)),
  IF(E183=1, 0.95*AI183,
   0.7*X183))
)/3</f>
        <v>2.8703703703703707</v>
      </c>
      <c r="AV183" s="2">
        <v>10</v>
      </c>
    </row>
    <row r="184" spans="1:48" x14ac:dyDescent="0.3">
      <c r="A184" t="s">
        <v>510</v>
      </c>
      <c r="B184" s="3">
        <v>6</v>
      </c>
      <c r="C184" s="3">
        <v>36</v>
      </c>
      <c r="D184" s="3">
        <v>0</v>
      </c>
      <c r="E184" s="3">
        <v>3</v>
      </c>
      <c r="F184" s="10"/>
      <c r="G184" s="10"/>
      <c r="H184" s="3">
        <v>6</v>
      </c>
      <c r="I184" s="3">
        <v>4</v>
      </c>
      <c r="K184" s="3">
        <v>0</v>
      </c>
      <c r="L184" s="3" t="s">
        <v>648</v>
      </c>
      <c r="M184" s="3" t="s">
        <v>225</v>
      </c>
      <c r="V184" s="16">
        <f t="shared" si="33"/>
        <v>1.5555555555555554</v>
      </c>
      <c r="W184" s="16">
        <f t="shared" si="34"/>
        <v>2.333333333333333</v>
      </c>
      <c r="X184" s="17" cm="1">
        <f t="array" ref="X184">$H184 *
IF(ISNUMBER(SEARCH("Rapid",$L184)),7/6,1) *
IF(OR(ISNUMBER(SEARCH("Beam",$L184)),ISNUMBER(SEARCH("Firestorm",$L184))),1, IF(ISNUMBER(SEARCH("Blast",$L184)),(4+$F184+(2-$F184)*0.5)/6*2,(4+$F184)/6)) *
IF(ISNUMBER(SEARCH("Fusion",$L184)), _xlfn.IFS(X$24-$I184 &lt;=1, 9/10, X$24-$I184 &lt;=10,(11-(X$24-$I184))/10, X$24-$I184 &gt;=11, 0),
_xlfn.IFS(X$24-$I184 &lt;=1, 5/6, X$24-$I184 &lt;=5, (7-(X$24-$I184))/6, AND(X$24-$I184 =6,NOT(_xlfn.IFNA(ISNUMBER(SEARCH("Rending",$L184)),FALSE))), (7-(X$24-$I184))/6, AND(X$24-$I184 &gt;=7,NOT(_xlfn.IFNA(ISNUMBER(SEARCH("Rending",$L184)),FALSE))), 0, X$24-$I184 =7, (7-(X$24-1-$I184))/6, X$24-$I184 =8, (7-(X$24-2-$I184))/6*2/3, X$24-$I184 =9, (7-(X$24-3-$I184))/6*1/3, TRUE, 0)) *
IF(ISNUMBER(SEARCH("Ordinance",$L184)),7/6,1) *
IF(OR(ISNUMBER(SEARCH("Melee",$L184)),ISNUMBER(SEARCH("Bypass",$L184))),1.5,1)</f>
        <v>1.5555555555555554</v>
      </c>
      <c r="Y184" s="17" cm="1">
        <f t="array" ref="Y184">$H184 *
IF(ISNUMBER(SEARCH("Rapid",$L184)),7/6,1) *
IF(OR(ISNUMBER(SEARCH("Beam",$L184)),ISNUMBER(SEARCH("Firestorm",$L184))),1, IF(ISNUMBER(SEARCH("Blast",$L184)),(4+$F184+(2-$F184)*0.5)/6*2,(4+$F184)/6)) *
IF(ISNUMBER(SEARCH("Fusion",$L184)), _xlfn.IFS(Y$24-$I184 &lt;=1, 9/10, Y$24-$I184 &lt;=10,(11-(Y$24-$I184))/10, Y$24-$I184 &gt;=11, 0),
_xlfn.IFS(Y$24-$I184 &lt;=1, 5/6, Y$24-$I184 &lt;=5, (7-(Y$24-$I184))/6, AND(Y$24-$I184 =6,NOT(_xlfn.IFNA(ISNUMBER(SEARCH("Rending",$L184)),FALSE))), (7-(Y$24-$I184))/6, AND(Y$24-$I184 &gt;=7,NOT(_xlfn.IFNA(ISNUMBER(SEARCH("Rending",$L184)),FALSE))), 0, Y$24-$I184 =7, (7-(Y$24-1-$I184))/6, Y$24-$I184 =8, (7-(Y$24-2-$I184))/6*2/3, Y$24-$I184 =9, (7-(Y$24-3-$I184))/6*1/3, TRUE, 0)) *
IF(ISNUMBER(SEARCH("Ordinance",$L184)),7/6,1) *
IF(OR(ISNUMBER(SEARCH("Melee",$L184)),ISNUMBER(SEARCH("Bypass",$L184))),1.5,1)</f>
        <v>0.77777777777777768</v>
      </c>
      <c r="Z184" s="17" cm="1">
        <f t="array" ref="Z184">$H184 *
IF(ISNUMBER(SEARCH("Rapid",$L184)),7/6,1) *
IF(OR(ISNUMBER(SEARCH("Beam",$L184)),ISNUMBER(SEARCH("Firestorm",$L184))),1, IF(ISNUMBER(SEARCH("Blast",$L184)),(4+$F184+(2-$F184)*0.5)/6*2,(4+$F184)/6)) *
IF(ISNUMBER(SEARCH("Fusion",$L184)), _xlfn.IFS(Z$24-$I184 &lt;=1, 9/10, Z$24-$I184 &lt;=10,(11-(Z$24-$I184))/10, Z$24-$I184 &gt;=11, 0),
_xlfn.IFS(Z$24-$I184 &lt;=1, 5/6, Z$24-$I184 &lt;=5, (7-(Z$24-$I184))/6, AND(Z$24-$I184 =6,NOT(_xlfn.IFNA(ISNUMBER(SEARCH("Rending",$L184)),FALSE))), (7-(Z$24-$I184))/6, AND(Z$24-$I184 &gt;=7,NOT(_xlfn.IFNA(ISNUMBER(SEARCH("Rending",$L184)),FALSE))), 0, Z$24-$I184 =7, (7-(Z$24-1-$I184))/6, Z$24-$I184 =8, (7-(Z$24-2-$I184))/6*2/3, Z$24-$I184 =9, (7-(Z$24-3-$I184))/6*1/3, TRUE, 0)) *
IF(ISNUMBER(SEARCH("Ordinance",$L184)),7/6,1) *
IF(OR(ISNUMBER(SEARCH("Melee",$L184)),ISNUMBER(SEARCH("Bypass",$L184))),1.5,1)</f>
        <v>0</v>
      </c>
      <c r="AA184" s="17" cm="1">
        <f t="array" ref="AA184">$H184 *
IF(ISNUMBER(SEARCH("Rapid",$L184)),7/6,1) *
IF(OR(ISNUMBER(SEARCH("Beam",$L184)),ISNUMBER(SEARCH("Firestorm",$L184))),1, IF(ISNUMBER(SEARCH("Blast",$L184)),(4+$F184+(2-$F184)*0.5)/6*2,(4+$F184)/6)) *
IF(ISNUMBER(SEARCH("Fusion",$L184)), _xlfn.IFS(AA$24-$I184 &lt;=1, 9/10, AA$24-$I184 &lt;=10,(11-(AA$24-$I184))/10, AA$24-$I184 &gt;=11, 0),
_xlfn.IFS(AA$24-$I184 &lt;=1, 5/6, AA$24-$I184 &lt;=5, (7-(AA$24-$I184))/6, AND(AA$24-$I184 =6,NOT(_xlfn.IFNA(ISNUMBER(SEARCH("Rending",$L184)),FALSE))), (7-(AA$24-$I184))/6, AND(AA$24-$I184 &gt;=7,NOT(_xlfn.IFNA(ISNUMBER(SEARCH("Rending",$L184)),FALSE))), 0, AA$24-$I184 =7, (7-(AA$24-1-$I184))/6, AA$24-$I184 =8, (7-(AA$24-2-$I184))/6*2/3, AA$24-$I184 =9, (7-(AA$24-3-$I184))/6*1/3, TRUE, 0)) *
IF(ISNUMBER(SEARCH("Ordinance",$L184)),7/6,1) *
IF(OR(ISNUMBER(SEARCH("Melee",$L184)),ISNUMBER(SEARCH("Bypass",$L184))),1.5,1)</f>
        <v>0</v>
      </c>
      <c r="AB184" s="17" cm="1">
        <f t="array" ref="AB184">$H184 *
IF(ISNUMBER(SEARCH("Rapid",$L184)),7/6,1) *
IF(OR(ISNUMBER(SEARCH("Beam",$L184)),ISNUMBER(SEARCH("Firestorm",$L184))),1, IF(ISNUMBER(SEARCH("Blast",$L184)),(4+$F184+(2-$F184)*0.5)/6*2,(4+$F184)/6)) *
IF(ISNUMBER(SEARCH("Fusion",$L184)), _xlfn.IFS(AB$24-$I184 &lt;=1, 9/10, AB$24-$I184 &lt;=10,(11-(AB$24-$I184))/10, AB$24-$I184 &gt;=11, 0),
_xlfn.IFS(AB$24-$I184 &lt;=1, 5/6, AB$24-$I184 &lt;=5, (7-(AB$24-$I184))/6, AND(AB$24-$I184 =6,NOT(_xlfn.IFNA(ISNUMBER(SEARCH("Rending",$L184)),FALSE))), (7-(AB$24-$I184))/6, AND(AB$24-$I184 &gt;=7,NOT(_xlfn.IFNA(ISNUMBER(SEARCH("Rending",$L184)),FALSE))), 0, AB$24-$I184 =7, (7-(AB$24-1-$I184))/6, AB$24-$I184 =8, (7-(AB$24-2-$I184))/6*2/3, AB$24-$I184 =9, (7-(AB$24-3-$I184))/6*1/3, TRUE, 0)) *
IF(ISNUMBER(SEARCH("Ordinance",$L184)),7/6,1) *
IF(OR(ISNUMBER(SEARCH("Melee",$L184)),ISNUMBER(SEARCH("Bypass",$L184))),1.5,1)</f>
        <v>0</v>
      </c>
      <c r="AC184" s="17" cm="1">
        <f t="array" ref="AC184">$H184 *
IF(ISNUMBER(SEARCH("Rapid",$L184)),7/6,1) *
IF(OR(ISNUMBER(SEARCH("Beam",$L184)),ISNUMBER(SEARCH("Firestorm",$L184))),1, IF(ISNUMBER(SEARCH("Blast",$L184)),(4+$F184+(2-$F184)*0.5)/6*2,(4+$F184)/6)) *
IF(ISNUMBER(SEARCH("Fusion",$L184)), _xlfn.IFS(AC$24-$I184 &lt;=1, 9/10, AC$24-$I184 &lt;=10,(11-(AC$24-$I184))/10, AC$24-$I184 &gt;=11, 0),
_xlfn.IFS(AC$24-$I184 &lt;=1, 5/6, AC$24-$I184 &lt;=5, (7-(AC$24-$I184))/6, AND(AC$24-$I184 =6,NOT(_xlfn.IFNA(ISNUMBER(SEARCH("Rending",$L184)),FALSE))), (7-(AC$24-$I184))/6, AND(AC$24-$I184 &gt;=7,NOT(_xlfn.IFNA(ISNUMBER(SEARCH("Rending",$L184)),FALSE))), 0, AC$24-$I184 =7, (7-(AC$24-1-$I184))/6, AC$24-$I184 =8, (7-(AC$24-2-$I184))/6*2/3, AC$24-$I184 =9, (7-(AC$24-3-$I184))/6*1/3, TRUE, 0)) *
IF(ISNUMBER(SEARCH("Ordinance",$L184)),7/6,1) *
IF(OR(ISNUMBER(SEARCH("Melee",$L184)),ISNUMBER(SEARCH("Bypass",$L184))),1.5,1)</f>
        <v>0</v>
      </c>
      <c r="AD184" s="17" cm="1">
        <f t="array" ref="AD184">$H184 *
IF(ISNUMBER(SEARCH("Rapid",$L184)),7/6,1) *
IF(OR(ISNUMBER(SEARCH("Beam",$L184)),ISNUMBER(SEARCH("Firestorm",$L184))),1, IF(ISNUMBER(SEARCH("Blast",$L184)),(4+$F184+(2-$F184)*0.5)/6*2,(4+$F184)/6)) *
IF(ISNUMBER(SEARCH("Fusion",$L184)), _xlfn.IFS(AD$24-$I184 &lt;=1, 9/10, AD$24-$I184 &lt;=10,(11-(AD$24-$I184))/10, AD$24-$I184 &gt;=11, 0),
_xlfn.IFS(AD$24-$I184 &lt;=1, 5/6, AD$24-$I184 &lt;=5, (7-(AD$24-$I184))/6, AND(AD$24-$I184 =6,NOT(_xlfn.IFNA(ISNUMBER(SEARCH("Rending",$L184)),FALSE))), (7-(AD$24-$I184))/6, AND(AD$24-$I184 &gt;=7,NOT(_xlfn.IFNA(ISNUMBER(SEARCH("Rending",$L184)),FALSE))), 0, AD$24-$I184 =7, (7-(AD$24-1-$I184))/6, AD$24-$I184 =8, (7-(AD$24-2-$I184))/6*2/3, AD$24-$I184 =9, (7-(AD$24-3-$I184))/6*1/3, TRUE, 0)) *
IF(ISNUMBER(SEARCH("Ordinance",$L184)),7/6,1) *
IF(OR(ISNUMBER(SEARCH("Melee",$L184)),ISNUMBER(SEARCH("Bypass",$L184))),1.5,1)</f>
        <v>0</v>
      </c>
      <c r="AE184" s="17" cm="1">
        <f t="array" ref="AE184">$H184 *
IF(ISNUMBER(SEARCH("Rapid",$L184)),7/6,1) *
IF(OR(ISNUMBER(SEARCH("Beam",$L184)),ISNUMBER(SEARCH("Firestorm",$L184))),1, IF(ISNUMBER(SEARCH("Blast",$L184)),(4+$F184+(2-$F184)*0.5)/6*2,(4+$F184)/6)) *
IF(ISNUMBER(SEARCH("Fusion",$L184)), _xlfn.IFS(AE$24-$I184 &lt;=1, 9/10, AE$24-$I184 &lt;=10,(11-(AE$24-$I184))/10, AE$24-$I184 &gt;=11, 0),
_xlfn.IFS(AE$24-$I184 &lt;=1, 5/6, AE$24-$I184 &lt;=5, (7-(AE$24-$I184))/6, AND(AE$24-$I184 =6,NOT(_xlfn.IFNA(ISNUMBER(SEARCH("Rending",$L184)),FALSE))), (7-(AE$24-$I184))/6, AND(AE$24-$I184 &gt;=7,NOT(_xlfn.IFNA(ISNUMBER(SEARCH("Rending",$L184)),FALSE))), 0, AE$24-$I184 =7, (7-(AE$24-1-$I184))/6, AE$24-$I184 =8, (7-(AE$24-2-$I184))/6*2/3, AE$24-$I184 =9, (7-(AE$24-3-$I184))/6*1/3, TRUE, 0)) *
IF(ISNUMBER(SEARCH("Ordinance",$L184)),7/6,1) *
IF(OR(ISNUMBER(SEARCH("Melee",$L184)),ISNUMBER(SEARCH("Bypass",$L184))),1.5,1)</f>
        <v>0</v>
      </c>
      <c r="AF184" s="17" cm="1">
        <f t="array" ref="AF184">$H184 *
IF(ISNUMBER(SEARCH("Rapid",$L184)),7/6,1) *
IF(OR(ISNUMBER(SEARCH("Beam",$L184)),ISNUMBER(SEARCH("Firestorm",$L184))),1, IF(ISNUMBER(SEARCH("Blast",$L184)),(4+$F184+(2-$F184)*0.5)/6*2,(4+$F184)/6)) *
IF(ISNUMBER(SEARCH("Fusion",$L184)), _xlfn.IFS(AF$24-$I184 &lt;=1, 9/10, AF$24-$I184 &lt;=10,(11-(AF$24-$I184))/10, AF$24-$I184 &gt;=11, 0),
_xlfn.IFS(AF$24-$I184 &lt;=1, 5/6, AF$24-$I184 &lt;=5, (7-(AF$24-$I184))/6, AND(AF$24-$I184 =6,NOT(_xlfn.IFNA(ISNUMBER(SEARCH("Rending",$L184)),FALSE))), (7-(AF$24-$I184))/6, AND(AF$24-$I184 &gt;=7,NOT(_xlfn.IFNA(ISNUMBER(SEARCH("Rending",$L184)),FALSE))), 0, AF$24-$I184 =7, (7-(AF$24-1-$I184))/6, AF$24-$I184 =8, (7-(AF$24-2-$I184))/6*2/3, AF$24-$I184 =9, (7-(AF$24-3-$I184))/6*1/3, TRUE, 0)) *
IF(ISNUMBER(SEARCH("Ordinance",$L184)),7/6,1) *
IF(OR(ISNUMBER(SEARCH("Melee",$L184)),ISNUMBER(SEARCH("Bypass",$L184))),1.5,1)</f>
        <v>0</v>
      </c>
      <c r="AG184" s="16">
        <f t="shared" si="35"/>
        <v>1.5555555555555554</v>
      </c>
      <c r="AH184" s="16">
        <f t="shared" si="36"/>
        <v>2.333333333333333</v>
      </c>
      <c r="AI184" s="17" cm="1">
        <f t="array" ref="AI184">$H184 *
IF(ISNUMBER(SEARCH("Rapid",$L184)),7/6,1) *
IF(OR(ISNUMBER(SEARCH("Beam",$L184)),ISNUMBER(SEARCH("Firestorm",$L184))),1, IF(ISNUMBER(SEARCH("Blast",$L184)),(4+$G184+(2-$G184)*0.5)/6*2,(4+$G184)/6)) *
_xlfn.IFS(AI$24-$I184 &lt;=1, 5/6, AI$24-$I184 &lt;=5, (7-(AI$24-$I184))/6, AND(AI$24-$I184 =6,NOT(_xlfn.IFNA(ISNUMBER(SEARCH("Rending",$L184)),FALSE))), (7-(AI$24-$I184))/6, AND(AI$24-$I184 &gt;=7,NOT(_xlfn.IFNA(ISNUMBER(SEARCH("Rending",$L184)),FALSE))), 0, AI$24-$I184 =7, (7-(AI$24-1-$I184))/6, AI$24-$I184 =8, (7-(AI$24-2-$I184))/6*2/3, AI$24-$I184 =9, (7-(AI$24-3-$I184))/6*1/3, TRUE, 0) *
IF(ISNUMBER(SEARCH("Ordinance",$L184)),7/6,1) *
IF(OR(ISNUMBER(SEARCH("Melee",$L184)),ISNUMBER(SEARCH("Bypass",$L184))),1.5,1)</f>
        <v>1.5555555555555554</v>
      </c>
      <c r="AJ184" s="17" cm="1">
        <f t="array" ref="AJ184">$H184 *
IF(ISNUMBER(SEARCH("Rapid",$L184)),7/6,1) *
IF(OR(ISNUMBER(SEARCH("Beam",$L184)),ISNUMBER(SEARCH("Firestorm",$L184))),1, IF(ISNUMBER(SEARCH("Blast",$L184)),(4+$G184+(2-$G184)*0.5)/6*2,(4+$G184)/6)) *
_xlfn.IFS(AJ$24-$I184 &lt;=1, 5/6, AJ$24-$I184 &lt;=5, (7-(AJ$24-$I184))/6, AND(AJ$24-$I184 =6,NOT(_xlfn.IFNA(ISNUMBER(SEARCH("Rending",$L184)),FALSE))), (7-(AJ$24-$I184))/6, AND(AJ$24-$I184 &gt;=7,NOT(_xlfn.IFNA(ISNUMBER(SEARCH("Rending",$L184)),FALSE))), 0, AJ$24-$I184 =7, (7-(AJ$24-1-$I184))/6, AJ$24-$I184 =8, (7-(AJ$24-2-$I184))/6*2/3, AJ$24-$I184 =9, (7-(AJ$24-3-$I184))/6*1/3, TRUE, 0) *
IF(ISNUMBER(SEARCH("Ordinance",$L184)),7/6,1) *
IF(OR(ISNUMBER(SEARCH("Melee",$L184)),ISNUMBER(SEARCH("Bypass",$L184))),1.5,1)</f>
        <v>0.77777777777777768</v>
      </c>
      <c r="AK184" s="17" cm="1">
        <f t="array" ref="AK184">$H184 *
IF(ISNUMBER(SEARCH("Rapid",$L184)),7/6,1) *
IF(OR(ISNUMBER(SEARCH("Beam",$L184)),ISNUMBER(SEARCH("Firestorm",$L184))),1, IF(ISNUMBER(SEARCH("Blast",$L184)),(4+$G184+(2-$G184)*0.5)/6*2,(4+$G184)/6)) *
_xlfn.IFS(AK$24-$I184 &lt;=1, 5/6, AK$24-$I184 &lt;=5, (7-(AK$24-$I184))/6, AND(AK$24-$I184 =6,NOT(_xlfn.IFNA(ISNUMBER(SEARCH("Rending",$L184)),FALSE))), (7-(AK$24-$I184))/6, AND(AK$24-$I184 &gt;=7,NOT(_xlfn.IFNA(ISNUMBER(SEARCH("Rending",$L184)),FALSE))), 0, AK$24-$I184 =7, (7-(AK$24-1-$I184))/6, AK$24-$I184 =8, (7-(AK$24-2-$I184))/6*2/3, AK$24-$I184 =9, (7-(AK$24-3-$I184))/6*1/3, TRUE, 0) *
IF(ISNUMBER(SEARCH("Ordinance",$L184)),7/6,1) *
IF(OR(ISNUMBER(SEARCH("Melee",$L184)),ISNUMBER(SEARCH("Bypass",$L184))),1.5,1)</f>
        <v>0</v>
      </c>
      <c r="AL184" s="17" cm="1">
        <f t="array" ref="AL184">$H184 *
IF(ISNUMBER(SEARCH("Rapid",$L184)),7/6,1) *
IF(OR(ISNUMBER(SEARCH("Beam",$L184)),ISNUMBER(SEARCH("Firestorm",$L184))),1, IF(ISNUMBER(SEARCH("Blast",$L184)),(4+$G184+(2-$G184)*0.5)/6*2,(4+$G184)/6)) *
_xlfn.IFS(AL$24-$I184 &lt;=1, 5/6, AL$24-$I184 &lt;=5, (7-(AL$24-$I184))/6, AND(AL$24-$I184 =6,NOT(_xlfn.IFNA(ISNUMBER(SEARCH("Rending",$L184)),FALSE))), (7-(AL$24-$I184))/6, AND(AL$24-$I184 &gt;=7,NOT(_xlfn.IFNA(ISNUMBER(SEARCH("Rending",$L184)),FALSE))), 0, AL$24-$I184 =7, (7-(AL$24-1-$I184))/6, AL$24-$I184 =8, (7-(AL$24-2-$I184))/6*2/3, AL$24-$I184 =9, (7-(AL$24-3-$I184))/6*1/3, TRUE, 0) *
IF(ISNUMBER(SEARCH("Ordinance",$L184)),7/6,1) *
IF(OR(ISNUMBER(SEARCH("Melee",$L184)),ISNUMBER(SEARCH("Bypass",$L184))),1.5,1)</f>
        <v>0</v>
      </c>
      <c r="AM184" s="17" cm="1">
        <f t="array" ref="AM184">$H184 *
IF(ISNUMBER(SEARCH("Rapid",$L184)),7/6,1) *
IF(OR(ISNUMBER(SEARCH("Beam",$L184)),ISNUMBER(SEARCH("Firestorm",$L184))),1, IF(ISNUMBER(SEARCH("Blast",$L184)),(4+$G184+(2-$G184)*0.5)/6*2,(4+$G184)/6)) *
_xlfn.IFS(AM$24-$I184 &lt;=1, 5/6, AM$24-$I184 &lt;=5, (7-(AM$24-$I184))/6, AND(AM$24-$I184 =6,NOT(_xlfn.IFNA(ISNUMBER(SEARCH("Rending",$L184)),FALSE))), (7-(AM$24-$I184))/6, AND(AM$24-$I184 &gt;=7,NOT(_xlfn.IFNA(ISNUMBER(SEARCH("Rending",$L184)),FALSE))), 0, AM$24-$I184 =7, (7-(AM$24-1-$I184))/6, AM$24-$I184 =8, (7-(AM$24-2-$I184))/6*2/3, AM$24-$I184 =9, (7-(AM$24-3-$I184))/6*1/3, TRUE, 0) *
IF(ISNUMBER(SEARCH("Ordinance",$L184)),7/6,1) *
IF(OR(ISNUMBER(SEARCH("Melee",$L184)),ISNUMBER(SEARCH("Bypass",$L184))),1.5,1)</f>
        <v>0</v>
      </c>
      <c r="AN184" s="17" cm="1">
        <f t="array" ref="AN184">$H184 *
IF(ISNUMBER(SEARCH("Rapid",$L184)),7/6,1) *
IF(OR(ISNUMBER(SEARCH("Beam",$L184)),ISNUMBER(SEARCH("Firestorm",$L184))),1, IF(ISNUMBER(SEARCH("Blast",$L184)),(4+$G184+(2-$G184)*0.5)/6*2,(4+$G184)/6)) *
_xlfn.IFS(AN$24-$I184 &lt;=1, 5/6, AN$24-$I184 &lt;=5, (7-(AN$24-$I184))/6, AND(AN$24-$I184 =6,NOT(_xlfn.IFNA(ISNUMBER(SEARCH("Rending",$L184)),FALSE))), (7-(AN$24-$I184))/6, AND(AN$24-$I184 &gt;=7,NOT(_xlfn.IFNA(ISNUMBER(SEARCH("Rending",$L184)),FALSE))), 0, AN$24-$I184 =7, (7-(AN$24-1-$I184))/6, AN$24-$I184 =8, (7-(AN$24-2-$I184))/6*2/3, AN$24-$I184 =9, (7-(AN$24-3-$I184))/6*1/3, TRUE, 0) *
IF(ISNUMBER(SEARCH("Ordinance",$L184)),7/6,1) *
IF(OR(ISNUMBER(SEARCH("Melee",$L184)),ISNUMBER(SEARCH("Bypass",$L184))),1.5,1)</f>
        <v>0</v>
      </c>
      <c r="AO184" s="17" cm="1">
        <f t="array" ref="AO184">$H184 *
IF(ISNUMBER(SEARCH("Rapid",$L184)),7/6,1) *
IF(OR(ISNUMBER(SEARCH("Beam",$L184)),ISNUMBER(SEARCH("Firestorm",$L184))),1, IF(ISNUMBER(SEARCH("Blast",$L184)),(4+$G184+(2-$G184)*0.5)/6*2,(4+$G184)/6)) *
_xlfn.IFS(AO$24-$I184 &lt;=1, 5/6, AO$24-$I184 &lt;=5, (7-(AO$24-$I184))/6, AND(AO$24-$I184 =6,NOT(_xlfn.IFNA(ISNUMBER(SEARCH("Rending",$L184)),FALSE))), (7-(AO$24-$I184))/6, AND(AO$24-$I184 &gt;=7,NOT(_xlfn.IFNA(ISNUMBER(SEARCH("Rending",$L184)),FALSE))), 0, AO$24-$I184 =7, (7-(AO$24-1-$I184))/6, AO$24-$I184 =8, (7-(AO$24-2-$I184))/6*2/3, AO$24-$I184 =9, (7-(AO$24-3-$I184))/6*1/3, TRUE, 0) *
IF(ISNUMBER(SEARCH("Ordinance",$L184)),7/6,1) *
IF(OR(ISNUMBER(SEARCH("Melee",$L184)),ISNUMBER(SEARCH("Bypass",$L184))),1.5,1)</f>
        <v>0</v>
      </c>
      <c r="AP184" s="17" cm="1">
        <f t="array" ref="AP184">$H184 *
IF(ISNUMBER(SEARCH("Rapid",$L184)),7/6,1) *
IF(OR(ISNUMBER(SEARCH("Beam",$L184)),ISNUMBER(SEARCH("Firestorm",$L184))),1, IF(ISNUMBER(SEARCH("Blast",$L184)),(4+$G184+(2-$G184)*0.5)/6*2,(4+$G184)/6)) *
_xlfn.IFS(AP$24-$I184 &lt;=1, 5/6, AP$24-$I184 &lt;=5, (7-(AP$24-$I184))/6, AND(AP$24-$I184 =6,NOT(_xlfn.IFNA(ISNUMBER(SEARCH("Rending",$L184)),FALSE))), (7-(AP$24-$I184))/6, AND(AP$24-$I184 &gt;=7,NOT(_xlfn.IFNA(ISNUMBER(SEARCH("Rending",$L184)),FALSE))), 0, AP$24-$I184 =7, (7-(AP$24-1-$I184))/6, AP$24-$I184 =8, (7-(AP$24-2-$I184))/6*2/3, AP$24-$I184 =9, (7-(AP$24-3-$I184))/6*1/3, TRUE, 0) *
IF(ISNUMBER(SEARCH("Ordinance",$L184)),7/6,1) *
IF(OR(ISNUMBER(SEARCH("Melee",$L184)),ISNUMBER(SEARCH("Bypass",$L184))),1.5,1)</f>
        <v>0</v>
      </c>
      <c r="AQ184" s="17" cm="1">
        <f t="array" ref="AQ184">$H184 *
IF(ISNUMBER(SEARCH("Rapid",$L184)),7/6,1) *
IF(OR(ISNUMBER(SEARCH("Beam",$L184)),ISNUMBER(SEARCH("Firestorm",$L184))),1, IF(ISNUMBER(SEARCH("Blast",$L184)),(4+$G184+(2-$G184)*0.5)/6*2,(4+$G184)/6)) *
_xlfn.IFS(AQ$24-$I184 &lt;=1, 5/6, AQ$24-$I184 &lt;=5, (7-(AQ$24-$I184))/6, AND(AQ$24-$I184 =6,NOT(_xlfn.IFNA(ISNUMBER(SEARCH("Rending",$L184)),FALSE))), (7-(AQ$24-$I184))/6, AND(AQ$24-$I184 &gt;=7,NOT(_xlfn.IFNA(ISNUMBER(SEARCH("Rending",$L184)),FALSE))), 0, AQ$24-$I184 =7, (7-(AQ$24-1-$I184))/6, AQ$24-$I184 =8, (7-(AQ$24-2-$I184))/6*2/3, AQ$24-$I184 =9, (7-(AQ$24-3-$I184))/6*1/3, TRUE, 0) *
IF(ISNUMBER(SEARCH("Ordinance",$L184)),7/6,1) *
IF(OR(ISNUMBER(SEARCH("Melee",$L184)),ISNUMBER(SEARCH("Bypass",$L184))),1.5,1)</f>
        <v>0</v>
      </c>
      <c r="AS184" s="16">
        <f t="shared" si="44"/>
        <v>0.57037037037037031</v>
      </c>
      <c r="AT184" s="16">
        <f t="shared" si="45"/>
        <v>0.85555555555555551</v>
      </c>
      <c r="AU184" s="16">
        <f t="shared" si="46"/>
        <v>1.2962962962962961</v>
      </c>
      <c r="AV184" s="2">
        <v>10</v>
      </c>
    </row>
    <row r="185" spans="1:48" x14ac:dyDescent="0.3">
      <c r="A185" t="s">
        <v>649</v>
      </c>
      <c r="B185" s="3">
        <v>6</v>
      </c>
      <c r="C185" s="3">
        <v>12</v>
      </c>
      <c r="D185" s="3">
        <v>0</v>
      </c>
      <c r="E185" s="3">
        <v>1</v>
      </c>
      <c r="F185" s="10"/>
      <c r="G185" s="10"/>
      <c r="H185" s="3">
        <v>2</v>
      </c>
      <c r="I185" s="3">
        <v>6</v>
      </c>
      <c r="K185" s="3">
        <v>10</v>
      </c>
      <c r="M185" s="3" t="s">
        <v>225</v>
      </c>
      <c r="V185" s="16">
        <f t="shared" si="33"/>
        <v>0.44444444444444442</v>
      </c>
      <c r="W185" s="16">
        <f t="shared" si="34"/>
        <v>0.66666666666666663</v>
      </c>
      <c r="X185" s="17" cm="1">
        <f t="array" ref="X185">$H185 *
IF(ISNUMBER(SEARCH("Rapid",$L185)),7/6,1) *
IF(OR(ISNUMBER(SEARCH("Beam",$L185)),ISNUMBER(SEARCH("Firestorm",$L185))),1, IF(ISNUMBER(SEARCH("Blast",$L185)),(4+$F185+(2-$F185)*0.5)/6*2,(4+$F185)/6)) *
IF(ISNUMBER(SEARCH("Fusion",$L185)), _xlfn.IFS(X$24-$I185 &lt;=1, 9/10, X$24-$I185 &lt;=10,(11-(X$24-$I185))/10, X$24-$I185 &gt;=11, 0),
_xlfn.IFS(X$24-$I185 &lt;=1, 5/6, X$24-$I185 &lt;=5, (7-(X$24-$I185))/6, AND(X$24-$I185 =6,NOT(_xlfn.IFNA(ISNUMBER(SEARCH("Rending",$L185)),FALSE))), (7-(X$24-$I185))/6, AND(X$24-$I185 &gt;=7,NOT(_xlfn.IFNA(ISNUMBER(SEARCH("Rending",$L185)),FALSE))), 0, X$24-$I185 =7, (7-(X$24-1-$I185))/6, X$24-$I185 =8, (7-(X$24-2-$I185))/6*2/3, X$24-$I185 =9, (7-(X$24-3-$I185))/6*1/3, TRUE, 0)) *
IF(ISNUMBER(SEARCH("Ordinance",$L185)),7/6,1) *
IF(OR(ISNUMBER(SEARCH("Melee",$L185)),ISNUMBER(SEARCH("Bypass",$L185))),1.5,1)</f>
        <v>0.88888888888888884</v>
      </c>
      <c r="Y185" s="17" cm="1">
        <f t="array" ref="Y185">$H185 *
IF(ISNUMBER(SEARCH("Rapid",$L185)),7/6,1) *
IF(OR(ISNUMBER(SEARCH("Beam",$L185)),ISNUMBER(SEARCH("Firestorm",$L185))),1, IF(ISNUMBER(SEARCH("Blast",$L185)),(4+$F185+(2-$F185)*0.5)/6*2,(4+$F185)/6)) *
IF(ISNUMBER(SEARCH("Fusion",$L185)), _xlfn.IFS(Y$24-$I185 &lt;=1, 9/10, Y$24-$I185 &lt;=10,(11-(Y$24-$I185))/10, Y$24-$I185 &gt;=11, 0),
_xlfn.IFS(Y$24-$I185 &lt;=1, 5/6, Y$24-$I185 &lt;=5, (7-(Y$24-$I185))/6, AND(Y$24-$I185 =6,NOT(_xlfn.IFNA(ISNUMBER(SEARCH("Rending",$L185)),FALSE))), (7-(Y$24-$I185))/6, AND(Y$24-$I185 &gt;=7,NOT(_xlfn.IFNA(ISNUMBER(SEARCH("Rending",$L185)),FALSE))), 0, Y$24-$I185 =7, (7-(Y$24-1-$I185))/6, Y$24-$I185 =8, (7-(Y$24-2-$I185))/6*2/3, Y$24-$I185 =9, (7-(Y$24-3-$I185))/6*1/3, TRUE, 0)) *
IF(ISNUMBER(SEARCH("Ordinance",$L185)),7/6,1) *
IF(OR(ISNUMBER(SEARCH("Melee",$L185)),ISNUMBER(SEARCH("Bypass",$L185))),1.5,1)</f>
        <v>0.66666666666666663</v>
      </c>
      <c r="Z185" s="17" cm="1">
        <f t="array" ref="Z185">$H185 *
IF(ISNUMBER(SEARCH("Rapid",$L185)),7/6,1) *
IF(OR(ISNUMBER(SEARCH("Beam",$L185)),ISNUMBER(SEARCH("Firestorm",$L185))),1, IF(ISNUMBER(SEARCH("Blast",$L185)),(4+$F185+(2-$F185)*0.5)/6*2,(4+$F185)/6)) *
IF(ISNUMBER(SEARCH("Fusion",$L185)), _xlfn.IFS(Z$24-$I185 &lt;=1, 9/10, Z$24-$I185 &lt;=10,(11-(Z$24-$I185))/10, Z$24-$I185 &gt;=11, 0),
_xlfn.IFS(Z$24-$I185 &lt;=1, 5/6, Z$24-$I185 &lt;=5, (7-(Z$24-$I185))/6, AND(Z$24-$I185 =6,NOT(_xlfn.IFNA(ISNUMBER(SEARCH("Rending",$L185)),FALSE))), (7-(Z$24-$I185))/6, AND(Z$24-$I185 &gt;=7,NOT(_xlfn.IFNA(ISNUMBER(SEARCH("Rending",$L185)),FALSE))), 0, Z$24-$I185 =7, (7-(Z$24-1-$I185))/6, Z$24-$I185 =8, (7-(Z$24-2-$I185))/6*2/3, Z$24-$I185 =9, (7-(Z$24-3-$I185))/6*1/3, TRUE, 0)) *
IF(ISNUMBER(SEARCH("Ordinance",$L185)),7/6,1) *
IF(OR(ISNUMBER(SEARCH("Melee",$L185)),ISNUMBER(SEARCH("Bypass",$L185))),1.5,1)</f>
        <v>0.44444444444444442</v>
      </c>
      <c r="AA185" s="17" cm="1">
        <f t="array" ref="AA185">$H185 *
IF(ISNUMBER(SEARCH("Rapid",$L185)),7/6,1) *
IF(OR(ISNUMBER(SEARCH("Beam",$L185)),ISNUMBER(SEARCH("Firestorm",$L185))),1, IF(ISNUMBER(SEARCH("Blast",$L185)),(4+$F185+(2-$F185)*0.5)/6*2,(4+$F185)/6)) *
IF(ISNUMBER(SEARCH("Fusion",$L185)), _xlfn.IFS(AA$24-$I185 &lt;=1, 9/10, AA$24-$I185 &lt;=10,(11-(AA$24-$I185))/10, AA$24-$I185 &gt;=11, 0),
_xlfn.IFS(AA$24-$I185 &lt;=1, 5/6, AA$24-$I185 &lt;=5, (7-(AA$24-$I185))/6, AND(AA$24-$I185 =6,NOT(_xlfn.IFNA(ISNUMBER(SEARCH("Rending",$L185)),FALSE))), (7-(AA$24-$I185))/6, AND(AA$24-$I185 &gt;=7,NOT(_xlfn.IFNA(ISNUMBER(SEARCH("Rending",$L185)),FALSE))), 0, AA$24-$I185 =7, (7-(AA$24-1-$I185))/6, AA$24-$I185 =8, (7-(AA$24-2-$I185))/6*2/3, AA$24-$I185 =9, (7-(AA$24-3-$I185))/6*1/3, TRUE, 0)) *
IF(ISNUMBER(SEARCH("Ordinance",$L185)),7/6,1) *
IF(OR(ISNUMBER(SEARCH("Melee",$L185)),ISNUMBER(SEARCH("Bypass",$L185))),1.5,1)</f>
        <v>0.22222222222222221</v>
      </c>
      <c r="AB185" s="17" cm="1">
        <f t="array" ref="AB185">$H185 *
IF(ISNUMBER(SEARCH("Rapid",$L185)),7/6,1) *
IF(OR(ISNUMBER(SEARCH("Beam",$L185)),ISNUMBER(SEARCH("Firestorm",$L185))),1, IF(ISNUMBER(SEARCH("Blast",$L185)),(4+$F185+(2-$F185)*0.5)/6*2,(4+$F185)/6)) *
IF(ISNUMBER(SEARCH("Fusion",$L185)), _xlfn.IFS(AB$24-$I185 &lt;=1, 9/10, AB$24-$I185 &lt;=10,(11-(AB$24-$I185))/10, AB$24-$I185 &gt;=11, 0),
_xlfn.IFS(AB$24-$I185 &lt;=1, 5/6, AB$24-$I185 &lt;=5, (7-(AB$24-$I185))/6, AND(AB$24-$I185 =6,NOT(_xlfn.IFNA(ISNUMBER(SEARCH("Rending",$L185)),FALSE))), (7-(AB$24-$I185))/6, AND(AB$24-$I185 &gt;=7,NOT(_xlfn.IFNA(ISNUMBER(SEARCH("Rending",$L185)),FALSE))), 0, AB$24-$I185 =7, (7-(AB$24-1-$I185))/6, AB$24-$I185 =8, (7-(AB$24-2-$I185))/6*2/3, AB$24-$I185 =9, (7-(AB$24-3-$I185))/6*1/3, TRUE, 0)) *
IF(ISNUMBER(SEARCH("Ordinance",$L185)),7/6,1) *
IF(OR(ISNUMBER(SEARCH("Melee",$L185)),ISNUMBER(SEARCH("Bypass",$L185))),1.5,1)</f>
        <v>0</v>
      </c>
      <c r="AC185" s="17" cm="1">
        <f t="array" ref="AC185">$H185 *
IF(ISNUMBER(SEARCH("Rapid",$L185)),7/6,1) *
IF(OR(ISNUMBER(SEARCH("Beam",$L185)),ISNUMBER(SEARCH("Firestorm",$L185))),1, IF(ISNUMBER(SEARCH("Blast",$L185)),(4+$F185+(2-$F185)*0.5)/6*2,(4+$F185)/6)) *
IF(ISNUMBER(SEARCH("Fusion",$L185)), _xlfn.IFS(AC$24-$I185 &lt;=1, 9/10, AC$24-$I185 &lt;=10,(11-(AC$24-$I185))/10, AC$24-$I185 &gt;=11, 0),
_xlfn.IFS(AC$24-$I185 &lt;=1, 5/6, AC$24-$I185 &lt;=5, (7-(AC$24-$I185))/6, AND(AC$24-$I185 =6,NOT(_xlfn.IFNA(ISNUMBER(SEARCH("Rending",$L185)),FALSE))), (7-(AC$24-$I185))/6, AND(AC$24-$I185 &gt;=7,NOT(_xlfn.IFNA(ISNUMBER(SEARCH("Rending",$L185)),FALSE))), 0, AC$24-$I185 =7, (7-(AC$24-1-$I185))/6, AC$24-$I185 =8, (7-(AC$24-2-$I185))/6*2/3, AC$24-$I185 =9, (7-(AC$24-3-$I185))/6*1/3, TRUE, 0)) *
IF(ISNUMBER(SEARCH("Ordinance",$L185)),7/6,1) *
IF(OR(ISNUMBER(SEARCH("Melee",$L185)),ISNUMBER(SEARCH("Bypass",$L185))),1.5,1)</f>
        <v>0</v>
      </c>
      <c r="AD185" s="17" cm="1">
        <f t="array" ref="AD185">$H185 *
IF(ISNUMBER(SEARCH("Rapid",$L185)),7/6,1) *
IF(OR(ISNUMBER(SEARCH("Beam",$L185)),ISNUMBER(SEARCH("Firestorm",$L185))),1, IF(ISNUMBER(SEARCH("Blast",$L185)),(4+$F185+(2-$F185)*0.5)/6*2,(4+$F185)/6)) *
IF(ISNUMBER(SEARCH("Fusion",$L185)), _xlfn.IFS(AD$24-$I185 &lt;=1, 9/10, AD$24-$I185 &lt;=10,(11-(AD$24-$I185))/10, AD$24-$I185 &gt;=11, 0),
_xlfn.IFS(AD$24-$I185 &lt;=1, 5/6, AD$24-$I185 &lt;=5, (7-(AD$24-$I185))/6, AND(AD$24-$I185 =6,NOT(_xlfn.IFNA(ISNUMBER(SEARCH("Rending",$L185)),FALSE))), (7-(AD$24-$I185))/6, AND(AD$24-$I185 &gt;=7,NOT(_xlfn.IFNA(ISNUMBER(SEARCH("Rending",$L185)),FALSE))), 0, AD$24-$I185 =7, (7-(AD$24-1-$I185))/6, AD$24-$I185 =8, (7-(AD$24-2-$I185))/6*2/3, AD$24-$I185 =9, (7-(AD$24-3-$I185))/6*1/3, TRUE, 0)) *
IF(ISNUMBER(SEARCH("Ordinance",$L185)),7/6,1) *
IF(OR(ISNUMBER(SEARCH("Melee",$L185)),ISNUMBER(SEARCH("Bypass",$L185))),1.5,1)</f>
        <v>0</v>
      </c>
      <c r="AE185" s="17" cm="1">
        <f t="array" ref="AE185">$H185 *
IF(ISNUMBER(SEARCH("Rapid",$L185)),7/6,1) *
IF(OR(ISNUMBER(SEARCH("Beam",$L185)),ISNUMBER(SEARCH("Firestorm",$L185))),1, IF(ISNUMBER(SEARCH("Blast",$L185)),(4+$F185+(2-$F185)*0.5)/6*2,(4+$F185)/6)) *
IF(ISNUMBER(SEARCH("Fusion",$L185)), _xlfn.IFS(AE$24-$I185 &lt;=1, 9/10, AE$24-$I185 &lt;=10,(11-(AE$24-$I185))/10, AE$24-$I185 &gt;=11, 0),
_xlfn.IFS(AE$24-$I185 &lt;=1, 5/6, AE$24-$I185 &lt;=5, (7-(AE$24-$I185))/6, AND(AE$24-$I185 =6,NOT(_xlfn.IFNA(ISNUMBER(SEARCH("Rending",$L185)),FALSE))), (7-(AE$24-$I185))/6, AND(AE$24-$I185 &gt;=7,NOT(_xlfn.IFNA(ISNUMBER(SEARCH("Rending",$L185)),FALSE))), 0, AE$24-$I185 =7, (7-(AE$24-1-$I185))/6, AE$24-$I185 =8, (7-(AE$24-2-$I185))/6*2/3, AE$24-$I185 =9, (7-(AE$24-3-$I185))/6*1/3, TRUE, 0)) *
IF(ISNUMBER(SEARCH("Ordinance",$L185)),7/6,1) *
IF(OR(ISNUMBER(SEARCH("Melee",$L185)),ISNUMBER(SEARCH("Bypass",$L185))),1.5,1)</f>
        <v>0</v>
      </c>
      <c r="AF185" s="17" cm="1">
        <f t="array" ref="AF185">$H185 *
IF(ISNUMBER(SEARCH("Rapid",$L185)),7/6,1) *
IF(OR(ISNUMBER(SEARCH("Beam",$L185)),ISNUMBER(SEARCH("Firestorm",$L185))),1, IF(ISNUMBER(SEARCH("Blast",$L185)),(4+$F185+(2-$F185)*0.5)/6*2,(4+$F185)/6)) *
IF(ISNUMBER(SEARCH("Fusion",$L185)), _xlfn.IFS(AF$24-$I185 &lt;=1, 9/10, AF$24-$I185 &lt;=10,(11-(AF$24-$I185))/10, AF$24-$I185 &gt;=11, 0),
_xlfn.IFS(AF$24-$I185 &lt;=1, 5/6, AF$24-$I185 &lt;=5, (7-(AF$24-$I185))/6, AND(AF$24-$I185 =6,NOT(_xlfn.IFNA(ISNUMBER(SEARCH("Rending",$L185)),FALSE))), (7-(AF$24-$I185))/6, AND(AF$24-$I185 &gt;=7,NOT(_xlfn.IFNA(ISNUMBER(SEARCH("Rending",$L185)),FALSE))), 0, AF$24-$I185 =7, (7-(AF$24-1-$I185))/6, AF$24-$I185 =8, (7-(AF$24-2-$I185))/6*2/3, AF$24-$I185 =9, (7-(AF$24-3-$I185))/6*1/3, TRUE, 0)) *
IF(ISNUMBER(SEARCH("Ordinance",$L185)),7/6,1) *
IF(OR(ISNUMBER(SEARCH("Melee",$L185)),ISNUMBER(SEARCH("Bypass",$L185))),1.5,1)</f>
        <v>0</v>
      </c>
      <c r="AG185" s="16">
        <f t="shared" si="35"/>
        <v>0.44444444444444442</v>
      </c>
      <c r="AH185" s="16">
        <f t="shared" si="36"/>
        <v>0.66666666666666663</v>
      </c>
      <c r="AI185" s="17" cm="1">
        <f t="array" ref="AI185">$H185 *
IF(ISNUMBER(SEARCH("Rapid",$L185)),7/6,1) *
IF(OR(ISNUMBER(SEARCH("Beam",$L185)),ISNUMBER(SEARCH("Firestorm",$L185))),1, IF(ISNUMBER(SEARCH("Blast",$L185)),(4+$G185+(2-$G185)*0.5)/6*2,(4+$G185)/6)) *
_xlfn.IFS(AI$24-$I185 &lt;=1, 5/6, AI$24-$I185 &lt;=5, (7-(AI$24-$I185))/6, AND(AI$24-$I185 =6,NOT(_xlfn.IFNA(ISNUMBER(SEARCH("Rending",$L185)),FALSE))), (7-(AI$24-$I185))/6, AND(AI$24-$I185 &gt;=7,NOT(_xlfn.IFNA(ISNUMBER(SEARCH("Rending",$L185)),FALSE))), 0, AI$24-$I185 =7, (7-(AI$24-1-$I185))/6, AI$24-$I185 =8, (7-(AI$24-2-$I185))/6*2/3, AI$24-$I185 =9, (7-(AI$24-3-$I185))/6*1/3, TRUE, 0) *
IF(ISNUMBER(SEARCH("Ordinance",$L185)),7/6,1) *
IF(OR(ISNUMBER(SEARCH("Melee",$L185)),ISNUMBER(SEARCH("Bypass",$L185))),1.5,1)</f>
        <v>0.88888888888888884</v>
      </c>
      <c r="AJ185" s="17" cm="1">
        <f t="array" ref="AJ185">$H185 *
IF(ISNUMBER(SEARCH("Rapid",$L185)),7/6,1) *
IF(OR(ISNUMBER(SEARCH("Beam",$L185)),ISNUMBER(SEARCH("Firestorm",$L185))),1, IF(ISNUMBER(SEARCH("Blast",$L185)),(4+$G185+(2-$G185)*0.5)/6*2,(4+$G185)/6)) *
_xlfn.IFS(AJ$24-$I185 &lt;=1, 5/6, AJ$24-$I185 &lt;=5, (7-(AJ$24-$I185))/6, AND(AJ$24-$I185 =6,NOT(_xlfn.IFNA(ISNUMBER(SEARCH("Rending",$L185)),FALSE))), (7-(AJ$24-$I185))/6, AND(AJ$24-$I185 &gt;=7,NOT(_xlfn.IFNA(ISNUMBER(SEARCH("Rending",$L185)),FALSE))), 0, AJ$24-$I185 =7, (7-(AJ$24-1-$I185))/6, AJ$24-$I185 =8, (7-(AJ$24-2-$I185))/6*2/3, AJ$24-$I185 =9, (7-(AJ$24-3-$I185))/6*1/3, TRUE, 0) *
IF(ISNUMBER(SEARCH("Ordinance",$L185)),7/6,1) *
IF(OR(ISNUMBER(SEARCH("Melee",$L185)),ISNUMBER(SEARCH("Bypass",$L185))),1.5,1)</f>
        <v>0.66666666666666663</v>
      </c>
      <c r="AK185" s="17" cm="1">
        <f t="array" ref="AK185">$H185 *
IF(ISNUMBER(SEARCH("Rapid",$L185)),7/6,1) *
IF(OR(ISNUMBER(SEARCH("Beam",$L185)),ISNUMBER(SEARCH("Firestorm",$L185))),1, IF(ISNUMBER(SEARCH("Blast",$L185)),(4+$G185+(2-$G185)*0.5)/6*2,(4+$G185)/6)) *
_xlfn.IFS(AK$24-$I185 &lt;=1, 5/6, AK$24-$I185 &lt;=5, (7-(AK$24-$I185))/6, AND(AK$24-$I185 =6,NOT(_xlfn.IFNA(ISNUMBER(SEARCH("Rending",$L185)),FALSE))), (7-(AK$24-$I185))/6, AND(AK$24-$I185 &gt;=7,NOT(_xlfn.IFNA(ISNUMBER(SEARCH("Rending",$L185)),FALSE))), 0, AK$24-$I185 =7, (7-(AK$24-1-$I185))/6, AK$24-$I185 =8, (7-(AK$24-2-$I185))/6*2/3, AK$24-$I185 =9, (7-(AK$24-3-$I185))/6*1/3, TRUE, 0) *
IF(ISNUMBER(SEARCH("Ordinance",$L185)),7/6,1) *
IF(OR(ISNUMBER(SEARCH("Melee",$L185)),ISNUMBER(SEARCH("Bypass",$L185))),1.5,1)</f>
        <v>0.44444444444444442</v>
      </c>
      <c r="AL185" s="17" cm="1">
        <f t="array" ref="AL185">$H185 *
IF(ISNUMBER(SEARCH("Rapid",$L185)),7/6,1) *
IF(OR(ISNUMBER(SEARCH("Beam",$L185)),ISNUMBER(SEARCH("Firestorm",$L185))),1, IF(ISNUMBER(SEARCH("Blast",$L185)),(4+$G185+(2-$G185)*0.5)/6*2,(4+$G185)/6)) *
_xlfn.IFS(AL$24-$I185 &lt;=1, 5/6, AL$24-$I185 &lt;=5, (7-(AL$24-$I185))/6, AND(AL$24-$I185 =6,NOT(_xlfn.IFNA(ISNUMBER(SEARCH("Rending",$L185)),FALSE))), (7-(AL$24-$I185))/6, AND(AL$24-$I185 &gt;=7,NOT(_xlfn.IFNA(ISNUMBER(SEARCH("Rending",$L185)),FALSE))), 0, AL$24-$I185 =7, (7-(AL$24-1-$I185))/6, AL$24-$I185 =8, (7-(AL$24-2-$I185))/6*2/3, AL$24-$I185 =9, (7-(AL$24-3-$I185))/6*1/3, TRUE, 0) *
IF(ISNUMBER(SEARCH("Ordinance",$L185)),7/6,1) *
IF(OR(ISNUMBER(SEARCH("Melee",$L185)),ISNUMBER(SEARCH("Bypass",$L185))),1.5,1)</f>
        <v>0.22222222222222221</v>
      </c>
      <c r="AM185" s="17" cm="1">
        <f t="array" ref="AM185">$H185 *
IF(ISNUMBER(SEARCH("Rapid",$L185)),7/6,1) *
IF(OR(ISNUMBER(SEARCH("Beam",$L185)),ISNUMBER(SEARCH("Firestorm",$L185))),1, IF(ISNUMBER(SEARCH("Blast",$L185)),(4+$G185+(2-$G185)*0.5)/6*2,(4+$G185)/6)) *
_xlfn.IFS(AM$24-$I185 &lt;=1, 5/6, AM$24-$I185 &lt;=5, (7-(AM$24-$I185))/6, AND(AM$24-$I185 =6,NOT(_xlfn.IFNA(ISNUMBER(SEARCH("Rending",$L185)),FALSE))), (7-(AM$24-$I185))/6, AND(AM$24-$I185 &gt;=7,NOT(_xlfn.IFNA(ISNUMBER(SEARCH("Rending",$L185)),FALSE))), 0, AM$24-$I185 =7, (7-(AM$24-1-$I185))/6, AM$24-$I185 =8, (7-(AM$24-2-$I185))/6*2/3, AM$24-$I185 =9, (7-(AM$24-3-$I185))/6*1/3, TRUE, 0) *
IF(ISNUMBER(SEARCH("Ordinance",$L185)),7/6,1) *
IF(OR(ISNUMBER(SEARCH("Melee",$L185)),ISNUMBER(SEARCH("Bypass",$L185))),1.5,1)</f>
        <v>0</v>
      </c>
      <c r="AN185" s="17" cm="1">
        <f t="array" ref="AN185">$H185 *
IF(ISNUMBER(SEARCH("Rapid",$L185)),7/6,1) *
IF(OR(ISNUMBER(SEARCH("Beam",$L185)),ISNUMBER(SEARCH("Firestorm",$L185))),1, IF(ISNUMBER(SEARCH("Blast",$L185)),(4+$G185+(2-$G185)*0.5)/6*2,(4+$G185)/6)) *
_xlfn.IFS(AN$24-$I185 &lt;=1, 5/6, AN$24-$I185 &lt;=5, (7-(AN$24-$I185))/6, AND(AN$24-$I185 =6,NOT(_xlfn.IFNA(ISNUMBER(SEARCH("Rending",$L185)),FALSE))), (7-(AN$24-$I185))/6, AND(AN$24-$I185 &gt;=7,NOT(_xlfn.IFNA(ISNUMBER(SEARCH("Rending",$L185)),FALSE))), 0, AN$24-$I185 =7, (7-(AN$24-1-$I185))/6, AN$24-$I185 =8, (7-(AN$24-2-$I185))/6*2/3, AN$24-$I185 =9, (7-(AN$24-3-$I185))/6*1/3, TRUE, 0) *
IF(ISNUMBER(SEARCH("Ordinance",$L185)),7/6,1) *
IF(OR(ISNUMBER(SEARCH("Melee",$L185)),ISNUMBER(SEARCH("Bypass",$L185))),1.5,1)</f>
        <v>0</v>
      </c>
      <c r="AO185" s="17" cm="1">
        <f t="array" ref="AO185">$H185 *
IF(ISNUMBER(SEARCH("Rapid",$L185)),7/6,1) *
IF(OR(ISNUMBER(SEARCH("Beam",$L185)),ISNUMBER(SEARCH("Firestorm",$L185))),1, IF(ISNUMBER(SEARCH("Blast",$L185)),(4+$G185+(2-$G185)*0.5)/6*2,(4+$G185)/6)) *
_xlfn.IFS(AO$24-$I185 &lt;=1, 5/6, AO$24-$I185 &lt;=5, (7-(AO$24-$I185))/6, AND(AO$24-$I185 =6,NOT(_xlfn.IFNA(ISNUMBER(SEARCH("Rending",$L185)),FALSE))), (7-(AO$24-$I185))/6, AND(AO$24-$I185 &gt;=7,NOT(_xlfn.IFNA(ISNUMBER(SEARCH("Rending",$L185)),FALSE))), 0, AO$24-$I185 =7, (7-(AO$24-1-$I185))/6, AO$24-$I185 =8, (7-(AO$24-2-$I185))/6*2/3, AO$24-$I185 =9, (7-(AO$24-3-$I185))/6*1/3, TRUE, 0) *
IF(ISNUMBER(SEARCH("Ordinance",$L185)),7/6,1) *
IF(OR(ISNUMBER(SEARCH("Melee",$L185)),ISNUMBER(SEARCH("Bypass",$L185))),1.5,1)</f>
        <v>0</v>
      </c>
      <c r="AP185" s="17" cm="1">
        <f t="array" ref="AP185">$H185 *
IF(ISNUMBER(SEARCH("Rapid",$L185)),7/6,1) *
IF(OR(ISNUMBER(SEARCH("Beam",$L185)),ISNUMBER(SEARCH("Firestorm",$L185))),1, IF(ISNUMBER(SEARCH("Blast",$L185)),(4+$G185+(2-$G185)*0.5)/6*2,(4+$G185)/6)) *
_xlfn.IFS(AP$24-$I185 &lt;=1, 5/6, AP$24-$I185 &lt;=5, (7-(AP$24-$I185))/6, AND(AP$24-$I185 =6,NOT(_xlfn.IFNA(ISNUMBER(SEARCH("Rending",$L185)),FALSE))), (7-(AP$24-$I185))/6, AND(AP$24-$I185 &gt;=7,NOT(_xlfn.IFNA(ISNUMBER(SEARCH("Rending",$L185)),FALSE))), 0, AP$24-$I185 =7, (7-(AP$24-1-$I185))/6, AP$24-$I185 =8, (7-(AP$24-2-$I185))/6*2/3, AP$24-$I185 =9, (7-(AP$24-3-$I185))/6*1/3, TRUE, 0) *
IF(ISNUMBER(SEARCH("Ordinance",$L185)),7/6,1) *
IF(OR(ISNUMBER(SEARCH("Melee",$L185)),ISNUMBER(SEARCH("Bypass",$L185))),1.5,1)</f>
        <v>0</v>
      </c>
      <c r="AQ185" s="17" cm="1">
        <f t="array" ref="AQ185">$H185 *
IF(ISNUMBER(SEARCH("Rapid",$L185)),7/6,1) *
IF(OR(ISNUMBER(SEARCH("Beam",$L185)),ISNUMBER(SEARCH("Firestorm",$L185))),1, IF(ISNUMBER(SEARCH("Blast",$L185)),(4+$G185+(2-$G185)*0.5)/6*2,(4+$G185)/6)) *
_xlfn.IFS(AQ$24-$I185 &lt;=1, 5/6, AQ$24-$I185 &lt;=5, (7-(AQ$24-$I185))/6, AND(AQ$24-$I185 =6,NOT(_xlfn.IFNA(ISNUMBER(SEARCH("Rending",$L185)),FALSE))), (7-(AQ$24-$I185))/6, AND(AQ$24-$I185 &gt;=7,NOT(_xlfn.IFNA(ISNUMBER(SEARCH("Rending",$L185)),FALSE))), 0, AQ$24-$I185 =7, (7-(AQ$24-1-$I185))/6, AQ$24-$I185 =8, (7-(AQ$24-2-$I185))/6*2/3, AQ$24-$I185 =9, (7-(AQ$24-3-$I185))/6*1/3, TRUE, 0) *
IF(ISNUMBER(SEARCH("Ordinance",$L185)),7/6,1) *
IF(OR(ISNUMBER(SEARCH("Melee",$L185)),ISNUMBER(SEARCH("Bypass",$L185))),1.5,1)</f>
        <v>0</v>
      </c>
      <c r="AS185" s="16">
        <f t="shared" si="44"/>
        <v>0.44444444444444442</v>
      </c>
      <c r="AT185" s="16">
        <f t="shared" si="45"/>
        <v>0.66666666666666663</v>
      </c>
      <c r="AU185" s="16">
        <f t="shared" si="46"/>
        <v>0.28148148148148144</v>
      </c>
      <c r="AV185" s="2">
        <v>10</v>
      </c>
    </row>
    <row r="186" spans="1:48" x14ac:dyDescent="0.3">
      <c r="A186" t="s">
        <v>650</v>
      </c>
      <c r="B186" s="3">
        <v>12</v>
      </c>
      <c r="C186" s="3">
        <v>36</v>
      </c>
      <c r="E186" s="3">
        <v>3</v>
      </c>
      <c r="F186" s="10"/>
      <c r="G186" s="10"/>
      <c r="H186" s="3">
        <v>4</v>
      </c>
      <c r="I186" s="3">
        <v>9</v>
      </c>
      <c r="K186" s="3">
        <v>50</v>
      </c>
      <c r="L186" s="3" t="s">
        <v>651</v>
      </c>
      <c r="M186" s="3" t="s">
        <v>225</v>
      </c>
      <c r="V186" s="16">
        <f t="shared" si="33"/>
        <v>2.2222222222222223</v>
      </c>
      <c r="W186" s="16">
        <f t="shared" si="34"/>
        <v>3.3333333333333335</v>
      </c>
      <c r="X186" s="17" cm="1">
        <f t="array" ref="X186">$H186 *
IF(ISNUMBER(SEARCH("Rapid",$L186)),7/6,1) *
IF(OR(ISNUMBER(SEARCH("Beam",$L186)),ISNUMBER(SEARCH("Firestorm",$L186))),1, IF(ISNUMBER(SEARCH("Blast",$L186)),(4+$F186+(2-$F186)*0.5)/6*2,(4+$F186)/6)) *
IF(ISNUMBER(SEARCH("Fusion",$L186)), _xlfn.IFS(X$24-$I186 &lt;=1, 9/10, X$24-$I186 &lt;=10,(11-(X$24-$I186))/10, X$24-$I186 &gt;=11, 0),
_xlfn.IFS(X$24-$I186 &lt;=1, 5/6, X$24-$I186 &lt;=5, (7-(X$24-$I186))/6, AND(X$24-$I186 =6,NOT(_xlfn.IFNA(ISNUMBER(SEARCH("Rending",$L186)),FALSE))), (7-(X$24-$I186))/6, AND(X$24-$I186 &gt;=7,NOT(_xlfn.IFNA(ISNUMBER(SEARCH("Rending",$L186)),FALSE))), 0, X$24-$I186 =7, (7-(X$24-1-$I186))/6, X$24-$I186 =8, (7-(X$24-2-$I186))/6*2/3, X$24-$I186 =9, (7-(X$24-3-$I186))/6*1/3, TRUE, 0)) *
IF(ISNUMBER(SEARCH("Ordinance",$L186)),7/6,1) *
IF(OR(ISNUMBER(SEARCH("Melee",$L186)),ISNUMBER(SEARCH("Bypass",$L186))),1.5,1)</f>
        <v>5.5555555555555562</v>
      </c>
      <c r="Y186" s="17" cm="1">
        <f t="array" ref="Y186">$H186 *
IF(ISNUMBER(SEARCH("Rapid",$L186)),7/6,1) *
IF(OR(ISNUMBER(SEARCH("Beam",$L186)),ISNUMBER(SEARCH("Firestorm",$L186))),1, IF(ISNUMBER(SEARCH("Blast",$L186)),(4+$F186+(2-$F186)*0.5)/6*2,(4+$F186)/6)) *
IF(ISNUMBER(SEARCH("Fusion",$L186)), _xlfn.IFS(Y$24-$I186 &lt;=1, 9/10, Y$24-$I186 &lt;=10,(11-(Y$24-$I186))/10, Y$24-$I186 &gt;=11, 0),
_xlfn.IFS(Y$24-$I186 &lt;=1, 5/6, Y$24-$I186 &lt;=5, (7-(Y$24-$I186))/6, AND(Y$24-$I186 =6,NOT(_xlfn.IFNA(ISNUMBER(SEARCH("Rending",$L186)),FALSE))), (7-(Y$24-$I186))/6, AND(Y$24-$I186 &gt;=7,NOT(_xlfn.IFNA(ISNUMBER(SEARCH("Rending",$L186)),FALSE))), 0, Y$24-$I186 =7, (7-(Y$24-1-$I186))/6, Y$24-$I186 =8, (7-(Y$24-2-$I186))/6*2/3, Y$24-$I186 =9, (7-(Y$24-3-$I186))/6*1/3, TRUE, 0)) *
IF(ISNUMBER(SEARCH("Ordinance",$L186)),7/6,1) *
IF(OR(ISNUMBER(SEARCH("Melee",$L186)),ISNUMBER(SEARCH("Bypass",$L186))),1.5,1)</f>
        <v>5.5555555555555562</v>
      </c>
      <c r="Z186" s="17" cm="1">
        <f t="array" ref="Z186">$H186 *
IF(ISNUMBER(SEARCH("Rapid",$L186)),7/6,1) *
IF(OR(ISNUMBER(SEARCH("Beam",$L186)),ISNUMBER(SEARCH("Firestorm",$L186))),1, IF(ISNUMBER(SEARCH("Blast",$L186)),(4+$F186+(2-$F186)*0.5)/6*2,(4+$F186)/6)) *
IF(ISNUMBER(SEARCH("Fusion",$L186)), _xlfn.IFS(Z$24-$I186 &lt;=1, 9/10, Z$24-$I186 &lt;=10,(11-(Z$24-$I186))/10, Z$24-$I186 &gt;=11, 0),
_xlfn.IFS(Z$24-$I186 &lt;=1, 5/6, Z$24-$I186 &lt;=5, (7-(Z$24-$I186))/6, AND(Z$24-$I186 =6,NOT(_xlfn.IFNA(ISNUMBER(SEARCH("Rending",$L186)),FALSE))), (7-(Z$24-$I186))/6, AND(Z$24-$I186 &gt;=7,NOT(_xlfn.IFNA(ISNUMBER(SEARCH("Rending",$L186)),FALSE))), 0, Z$24-$I186 =7, (7-(Z$24-1-$I186))/6, Z$24-$I186 =8, (7-(Z$24-2-$I186))/6*2/3, Z$24-$I186 =9, (7-(Z$24-3-$I186))/6*1/3, TRUE, 0)) *
IF(ISNUMBER(SEARCH("Ordinance",$L186)),7/6,1) *
IF(OR(ISNUMBER(SEARCH("Melee",$L186)),ISNUMBER(SEARCH("Bypass",$L186))),1.5,1)</f>
        <v>5.5555555555555562</v>
      </c>
      <c r="AA186" s="17" cm="1">
        <f t="array" ref="AA186">$H186 *
IF(ISNUMBER(SEARCH("Rapid",$L186)),7/6,1) *
IF(OR(ISNUMBER(SEARCH("Beam",$L186)),ISNUMBER(SEARCH("Firestorm",$L186))),1, IF(ISNUMBER(SEARCH("Blast",$L186)),(4+$F186+(2-$F186)*0.5)/6*2,(4+$F186)/6)) *
IF(ISNUMBER(SEARCH("Fusion",$L186)), _xlfn.IFS(AA$24-$I186 &lt;=1, 9/10, AA$24-$I186 &lt;=10,(11-(AA$24-$I186))/10, AA$24-$I186 &gt;=11, 0),
_xlfn.IFS(AA$24-$I186 &lt;=1, 5/6, AA$24-$I186 &lt;=5, (7-(AA$24-$I186))/6, AND(AA$24-$I186 =6,NOT(_xlfn.IFNA(ISNUMBER(SEARCH("Rending",$L186)),FALSE))), (7-(AA$24-$I186))/6, AND(AA$24-$I186 &gt;=7,NOT(_xlfn.IFNA(ISNUMBER(SEARCH("Rending",$L186)),FALSE))), 0, AA$24-$I186 =7, (7-(AA$24-1-$I186))/6, AA$24-$I186 =8, (7-(AA$24-2-$I186))/6*2/3, AA$24-$I186 =9, (7-(AA$24-3-$I186))/6*1/3, TRUE, 0)) *
IF(ISNUMBER(SEARCH("Ordinance",$L186)),7/6,1) *
IF(OR(ISNUMBER(SEARCH("Melee",$L186)),ISNUMBER(SEARCH("Bypass",$L186))),1.5,1)</f>
        <v>4.4444444444444446</v>
      </c>
      <c r="AB186" s="17" cm="1">
        <f t="array" ref="AB186">$H186 *
IF(ISNUMBER(SEARCH("Rapid",$L186)),7/6,1) *
IF(OR(ISNUMBER(SEARCH("Beam",$L186)),ISNUMBER(SEARCH("Firestorm",$L186))),1, IF(ISNUMBER(SEARCH("Blast",$L186)),(4+$F186+(2-$F186)*0.5)/6*2,(4+$F186)/6)) *
IF(ISNUMBER(SEARCH("Fusion",$L186)), _xlfn.IFS(AB$24-$I186 &lt;=1, 9/10, AB$24-$I186 &lt;=10,(11-(AB$24-$I186))/10, AB$24-$I186 &gt;=11, 0),
_xlfn.IFS(AB$24-$I186 &lt;=1, 5/6, AB$24-$I186 &lt;=5, (7-(AB$24-$I186))/6, AND(AB$24-$I186 =6,NOT(_xlfn.IFNA(ISNUMBER(SEARCH("Rending",$L186)),FALSE))), (7-(AB$24-$I186))/6, AND(AB$24-$I186 &gt;=7,NOT(_xlfn.IFNA(ISNUMBER(SEARCH("Rending",$L186)),FALSE))), 0, AB$24-$I186 =7, (7-(AB$24-1-$I186))/6, AB$24-$I186 =8, (7-(AB$24-2-$I186))/6*2/3, AB$24-$I186 =9, (7-(AB$24-3-$I186))/6*1/3, TRUE, 0)) *
IF(ISNUMBER(SEARCH("Ordinance",$L186)),7/6,1) *
IF(OR(ISNUMBER(SEARCH("Melee",$L186)),ISNUMBER(SEARCH("Bypass",$L186))),1.5,1)</f>
        <v>3.3333333333333335</v>
      </c>
      <c r="AC186" s="17" cm="1">
        <f t="array" ref="AC186">$H186 *
IF(ISNUMBER(SEARCH("Rapid",$L186)),7/6,1) *
IF(OR(ISNUMBER(SEARCH("Beam",$L186)),ISNUMBER(SEARCH("Firestorm",$L186))),1, IF(ISNUMBER(SEARCH("Blast",$L186)),(4+$F186+(2-$F186)*0.5)/6*2,(4+$F186)/6)) *
IF(ISNUMBER(SEARCH("Fusion",$L186)), _xlfn.IFS(AC$24-$I186 &lt;=1, 9/10, AC$24-$I186 &lt;=10,(11-(AC$24-$I186))/10, AC$24-$I186 &gt;=11, 0),
_xlfn.IFS(AC$24-$I186 &lt;=1, 5/6, AC$24-$I186 &lt;=5, (7-(AC$24-$I186))/6, AND(AC$24-$I186 =6,NOT(_xlfn.IFNA(ISNUMBER(SEARCH("Rending",$L186)),FALSE))), (7-(AC$24-$I186))/6, AND(AC$24-$I186 &gt;=7,NOT(_xlfn.IFNA(ISNUMBER(SEARCH("Rending",$L186)),FALSE))), 0, AC$24-$I186 =7, (7-(AC$24-1-$I186))/6, AC$24-$I186 =8, (7-(AC$24-2-$I186))/6*2/3, AC$24-$I186 =9, (7-(AC$24-3-$I186))/6*1/3, TRUE, 0)) *
IF(ISNUMBER(SEARCH("Ordinance",$L186)),7/6,1) *
IF(OR(ISNUMBER(SEARCH("Melee",$L186)),ISNUMBER(SEARCH("Bypass",$L186))),1.5,1)</f>
        <v>2.2222222222222223</v>
      </c>
      <c r="AD186" s="17" cm="1">
        <f t="array" ref="AD186">$H186 *
IF(ISNUMBER(SEARCH("Rapid",$L186)),7/6,1) *
IF(OR(ISNUMBER(SEARCH("Beam",$L186)),ISNUMBER(SEARCH("Firestorm",$L186))),1, IF(ISNUMBER(SEARCH("Blast",$L186)),(4+$F186+(2-$F186)*0.5)/6*2,(4+$F186)/6)) *
IF(ISNUMBER(SEARCH("Fusion",$L186)), _xlfn.IFS(AD$24-$I186 &lt;=1, 9/10, AD$24-$I186 &lt;=10,(11-(AD$24-$I186))/10, AD$24-$I186 &gt;=11, 0),
_xlfn.IFS(AD$24-$I186 &lt;=1, 5/6, AD$24-$I186 &lt;=5, (7-(AD$24-$I186))/6, AND(AD$24-$I186 =6,NOT(_xlfn.IFNA(ISNUMBER(SEARCH("Rending",$L186)),FALSE))), (7-(AD$24-$I186))/6, AND(AD$24-$I186 &gt;=7,NOT(_xlfn.IFNA(ISNUMBER(SEARCH("Rending",$L186)),FALSE))), 0, AD$24-$I186 =7, (7-(AD$24-1-$I186))/6, AD$24-$I186 =8, (7-(AD$24-2-$I186))/6*2/3, AD$24-$I186 =9, (7-(AD$24-3-$I186))/6*1/3, TRUE, 0)) *
IF(ISNUMBER(SEARCH("Ordinance",$L186)),7/6,1) *
IF(OR(ISNUMBER(SEARCH("Melee",$L186)),ISNUMBER(SEARCH("Bypass",$L186))),1.5,1)</f>
        <v>1.1111111111111112</v>
      </c>
      <c r="AE186" s="17" cm="1">
        <f t="array" ref="AE186">$H186 *
IF(ISNUMBER(SEARCH("Rapid",$L186)),7/6,1) *
IF(OR(ISNUMBER(SEARCH("Beam",$L186)),ISNUMBER(SEARCH("Firestorm",$L186))),1, IF(ISNUMBER(SEARCH("Blast",$L186)),(4+$F186+(2-$F186)*0.5)/6*2,(4+$F186)/6)) *
IF(ISNUMBER(SEARCH("Fusion",$L186)), _xlfn.IFS(AE$24-$I186 &lt;=1, 9/10, AE$24-$I186 &lt;=10,(11-(AE$24-$I186))/10, AE$24-$I186 &gt;=11, 0),
_xlfn.IFS(AE$24-$I186 &lt;=1, 5/6, AE$24-$I186 &lt;=5, (7-(AE$24-$I186))/6, AND(AE$24-$I186 =6,NOT(_xlfn.IFNA(ISNUMBER(SEARCH("Rending",$L186)),FALSE))), (7-(AE$24-$I186))/6, AND(AE$24-$I186 &gt;=7,NOT(_xlfn.IFNA(ISNUMBER(SEARCH("Rending",$L186)),FALSE))), 0, AE$24-$I186 =7, (7-(AE$24-1-$I186))/6, AE$24-$I186 =8, (7-(AE$24-2-$I186))/6*2/3, AE$24-$I186 =9, (7-(AE$24-3-$I186))/6*1/3, TRUE, 0)) *
IF(ISNUMBER(SEARCH("Ordinance",$L186)),7/6,1) *
IF(OR(ISNUMBER(SEARCH("Melee",$L186)),ISNUMBER(SEARCH("Bypass",$L186))),1.5,1)</f>
        <v>0</v>
      </c>
      <c r="AF186" s="17" cm="1">
        <f t="array" ref="AF186">$H186 *
IF(ISNUMBER(SEARCH("Rapid",$L186)),7/6,1) *
IF(OR(ISNUMBER(SEARCH("Beam",$L186)),ISNUMBER(SEARCH("Firestorm",$L186))),1, IF(ISNUMBER(SEARCH("Blast",$L186)),(4+$F186+(2-$F186)*0.5)/6*2,(4+$F186)/6)) *
IF(ISNUMBER(SEARCH("Fusion",$L186)), _xlfn.IFS(AF$24-$I186 &lt;=1, 9/10, AF$24-$I186 &lt;=10,(11-(AF$24-$I186))/10, AF$24-$I186 &gt;=11, 0),
_xlfn.IFS(AF$24-$I186 &lt;=1, 5/6, AF$24-$I186 &lt;=5, (7-(AF$24-$I186))/6, AND(AF$24-$I186 =6,NOT(_xlfn.IFNA(ISNUMBER(SEARCH("Rending",$L186)),FALSE))), (7-(AF$24-$I186))/6, AND(AF$24-$I186 &gt;=7,NOT(_xlfn.IFNA(ISNUMBER(SEARCH("Rending",$L186)),FALSE))), 0, AF$24-$I186 =7, (7-(AF$24-1-$I186))/6, AF$24-$I186 =8, (7-(AF$24-2-$I186))/6*2/3, AF$24-$I186 =9, (7-(AF$24-3-$I186))/6*1/3, TRUE, 0)) *
IF(ISNUMBER(SEARCH("Ordinance",$L186)),7/6,1) *
IF(OR(ISNUMBER(SEARCH("Melee",$L186)),ISNUMBER(SEARCH("Bypass",$L186))),1.5,1)</f>
        <v>0</v>
      </c>
      <c r="AG186" s="16">
        <f t="shared" si="35"/>
        <v>2.2222222222222223</v>
      </c>
      <c r="AH186" s="16">
        <f t="shared" si="36"/>
        <v>3.3333333333333335</v>
      </c>
      <c r="AI186" s="17" cm="1">
        <f t="array" ref="AI186">$H186 *
IF(ISNUMBER(SEARCH("Rapid",$L186)),7/6,1) *
IF(OR(ISNUMBER(SEARCH("Beam",$L186)),ISNUMBER(SEARCH("Firestorm",$L186))),1, IF(ISNUMBER(SEARCH("Blast",$L186)),(4+$G186+(2-$G186)*0.5)/6*2,(4+$G186)/6)) *
_xlfn.IFS(AI$24-$I186 &lt;=1, 5/6, AI$24-$I186 &lt;=5, (7-(AI$24-$I186))/6, AND(AI$24-$I186 =6,NOT(_xlfn.IFNA(ISNUMBER(SEARCH("Rending",$L186)),FALSE))), (7-(AI$24-$I186))/6, AND(AI$24-$I186 &gt;=7,NOT(_xlfn.IFNA(ISNUMBER(SEARCH("Rending",$L186)),FALSE))), 0, AI$24-$I186 =7, (7-(AI$24-1-$I186))/6, AI$24-$I186 =8, (7-(AI$24-2-$I186))/6*2/3, AI$24-$I186 =9, (7-(AI$24-3-$I186))/6*1/3, TRUE, 0) *
IF(ISNUMBER(SEARCH("Ordinance",$L186)),7/6,1) *
IF(OR(ISNUMBER(SEARCH("Melee",$L186)),ISNUMBER(SEARCH("Bypass",$L186))),1.5,1)</f>
        <v>5.5555555555555562</v>
      </c>
      <c r="AJ186" s="17" cm="1">
        <f t="array" ref="AJ186">$H186 *
IF(ISNUMBER(SEARCH("Rapid",$L186)),7/6,1) *
IF(OR(ISNUMBER(SEARCH("Beam",$L186)),ISNUMBER(SEARCH("Firestorm",$L186))),1, IF(ISNUMBER(SEARCH("Blast",$L186)),(4+$G186+(2-$G186)*0.5)/6*2,(4+$G186)/6)) *
_xlfn.IFS(AJ$24-$I186 &lt;=1, 5/6, AJ$24-$I186 &lt;=5, (7-(AJ$24-$I186))/6, AND(AJ$24-$I186 =6,NOT(_xlfn.IFNA(ISNUMBER(SEARCH("Rending",$L186)),FALSE))), (7-(AJ$24-$I186))/6, AND(AJ$24-$I186 &gt;=7,NOT(_xlfn.IFNA(ISNUMBER(SEARCH("Rending",$L186)),FALSE))), 0, AJ$24-$I186 =7, (7-(AJ$24-1-$I186))/6, AJ$24-$I186 =8, (7-(AJ$24-2-$I186))/6*2/3, AJ$24-$I186 =9, (7-(AJ$24-3-$I186))/6*1/3, TRUE, 0) *
IF(ISNUMBER(SEARCH("Ordinance",$L186)),7/6,1) *
IF(OR(ISNUMBER(SEARCH("Melee",$L186)),ISNUMBER(SEARCH("Bypass",$L186))),1.5,1)</f>
        <v>5.5555555555555562</v>
      </c>
      <c r="AK186" s="17" cm="1">
        <f t="array" ref="AK186">$H186 *
IF(ISNUMBER(SEARCH("Rapid",$L186)),7/6,1) *
IF(OR(ISNUMBER(SEARCH("Beam",$L186)),ISNUMBER(SEARCH("Firestorm",$L186))),1, IF(ISNUMBER(SEARCH("Blast",$L186)),(4+$G186+(2-$G186)*0.5)/6*2,(4+$G186)/6)) *
_xlfn.IFS(AK$24-$I186 &lt;=1, 5/6, AK$24-$I186 &lt;=5, (7-(AK$24-$I186))/6, AND(AK$24-$I186 =6,NOT(_xlfn.IFNA(ISNUMBER(SEARCH("Rending",$L186)),FALSE))), (7-(AK$24-$I186))/6, AND(AK$24-$I186 &gt;=7,NOT(_xlfn.IFNA(ISNUMBER(SEARCH("Rending",$L186)),FALSE))), 0, AK$24-$I186 =7, (7-(AK$24-1-$I186))/6, AK$24-$I186 =8, (7-(AK$24-2-$I186))/6*2/3, AK$24-$I186 =9, (7-(AK$24-3-$I186))/6*1/3, TRUE, 0) *
IF(ISNUMBER(SEARCH("Ordinance",$L186)),7/6,1) *
IF(OR(ISNUMBER(SEARCH("Melee",$L186)),ISNUMBER(SEARCH("Bypass",$L186))),1.5,1)</f>
        <v>5.5555555555555562</v>
      </c>
      <c r="AL186" s="17" cm="1">
        <f t="array" ref="AL186">$H186 *
IF(ISNUMBER(SEARCH("Rapid",$L186)),7/6,1) *
IF(OR(ISNUMBER(SEARCH("Beam",$L186)),ISNUMBER(SEARCH("Firestorm",$L186))),1, IF(ISNUMBER(SEARCH("Blast",$L186)),(4+$G186+(2-$G186)*0.5)/6*2,(4+$G186)/6)) *
_xlfn.IFS(AL$24-$I186 &lt;=1, 5/6, AL$24-$I186 &lt;=5, (7-(AL$24-$I186))/6, AND(AL$24-$I186 =6,NOT(_xlfn.IFNA(ISNUMBER(SEARCH("Rending",$L186)),FALSE))), (7-(AL$24-$I186))/6, AND(AL$24-$I186 &gt;=7,NOT(_xlfn.IFNA(ISNUMBER(SEARCH("Rending",$L186)),FALSE))), 0, AL$24-$I186 =7, (7-(AL$24-1-$I186))/6, AL$24-$I186 =8, (7-(AL$24-2-$I186))/6*2/3, AL$24-$I186 =9, (7-(AL$24-3-$I186))/6*1/3, TRUE, 0) *
IF(ISNUMBER(SEARCH("Ordinance",$L186)),7/6,1) *
IF(OR(ISNUMBER(SEARCH("Melee",$L186)),ISNUMBER(SEARCH("Bypass",$L186))),1.5,1)</f>
        <v>4.4444444444444446</v>
      </c>
      <c r="AM186" s="17" cm="1">
        <f t="array" ref="AM186">$H186 *
IF(ISNUMBER(SEARCH("Rapid",$L186)),7/6,1) *
IF(OR(ISNUMBER(SEARCH("Beam",$L186)),ISNUMBER(SEARCH("Firestorm",$L186))),1, IF(ISNUMBER(SEARCH("Blast",$L186)),(4+$G186+(2-$G186)*0.5)/6*2,(4+$G186)/6)) *
_xlfn.IFS(AM$24-$I186 &lt;=1, 5/6, AM$24-$I186 &lt;=5, (7-(AM$24-$I186))/6, AND(AM$24-$I186 =6,NOT(_xlfn.IFNA(ISNUMBER(SEARCH("Rending",$L186)),FALSE))), (7-(AM$24-$I186))/6, AND(AM$24-$I186 &gt;=7,NOT(_xlfn.IFNA(ISNUMBER(SEARCH("Rending",$L186)),FALSE))), 0, AM$24-$I186 =7, (7-(AM$24-1-$I186))/6, AM$24-$I186 =8, (7-(AM$24-2-$I186))/6*2/3, AM$24-$I186 =9, (7-(AM$24-3-$I186))/6*1/3, TRUE, 0) *
IF(ISNUMBER(SEARCH("Ordinance",$L186)),7/6,1) *
IF(OR(ISNUMBER(SEARCH("Melee",$L186)),ISNUMBER(SEARCH("Bypass",$L186))),1.5,1)</f>
        <v>3.3333333333333335</v>
      </c>
      <c r="AN186" s="17" cm="1">
        <f t="array" ref="AN186">$H186 *
IF(ISNUMBER(SEARCH("Rapid",$L186)),7/6,1) *
IF(OR(ISNUMBER(SEARCH("Beam",$L186)),ISNUMBER(SEARCH("Firestorm",$L186))),1, IF(ISNUMBER(SEARCH("Blast",$L186)),(4+$G186+(2-$G186)*0.5)/6*2,(4+$G186)/6)) *
_xlfn.IFS(AN$24-$I186 &lt;=1, 5/6, AN$24-$I186 &lt;=5, (7-(AN$24-$I186))/6, AND(AN$24-$I186 =6,NOT(_xlfn.IFNA(ISNUMBER(SEARCH("Rending",$L186)),FALSE))), (7-(AN$24-$I186))/6, AND(AN$24-$I186 &gt;=7,NOT(_xlfn.IFNA(ISNUMBER(SEARCH("Rending",$L186)),FALSE))), 0, AN$24-$I186 =7, (7-(AN$24-1-$I186))/6, AN$24-$I186 =8, (7-(AN$24-2-$I186))/6*2/3, AN$24-$I186 =9, (7-(AN$24-3-$I186))/6*1/3, TRUE, 0) *
IF(ISNUMBER(SEARCH("Ordinance",$L186)),7/6,1) *
IF(OR(ISNUMBER(SEARCH("Melee",$L186)),ISNUMBER(SEARCH("Bypass",$L186))),1.5,1)</f>
        <v>2.2222222222222223</v>
      </c>
      <c r="AO186" s="17" cm="1">
        <f t="array" ref="AO186">$H186 *
IF(ISNUMBER(SEARCH("Rapid",$L186)),7/6,1) *
IF(OR(ISNUMBER(SEARCH("Beam",$L186)),ISNUMBER(SEARCH("Firestorm",$L186))),1, IF(ISNUMBER(SEARCH("Blast",$L186)),(4+$G186+(2-$G186)*0.5)/6*2,(4+$G186)/6)) *
_xlfn.IFS(AO$24-$I186 &lt;=1, 5/6, AO$24-$I186 &lt;=5, (7-(AO$24-$I186))/6, AND(AO$24-$I186 =6,NOT(_xlfn.IFNA(ISNUMBER(SEARCH("Rending",$L186)),FALSE))), (7-(AO$24-$I186))/6, AND(AO$24-$I186 &gt;=7,NOT(_xlfn.IFNA(ISNUMBER(SEARCH("Rending",$L186)),FALSE))), 0, AO$24-$I186 =7, (7-(AO$24-1-$I186))/6, AO$24-$I186 =8, (7-(AO$24-2-$I186))/6*2/3, AO$24-$I186 =9, (7-(AO$24-3-$I186))/6*1/3, TRUE, 0) *
IF(ISNUMBER(SEARCH("Ordinance",$L186)),7/6,1) *
IF(OR(ISNUMBER(SEARCH("Melee",$L186)),ISNUMBER(SEARCH("Bypass",$L186))),1.5,1)</f>
        <v>1.1111111111111112</v>
      </c>
      <c r="AP186" s="17" cm="1">
        <f t="array" ref="AP186">$H186 *
IF(ISNUMBER(SEARCH("Rapid",$L186)),7/6,1) *
IF(OR(ISNUMBER(SEARCH("Beam",$L186)),ISNUMBER(SEARCH("Firestorm",$L186))),1, IF(ISNUMBER(SEARCH("Blast",$L186)),(4+$G186+(2-$G186)*0.5)/6*2,(4+$G186)/6)) *
_xlfn.IFS(AP$24-$I186 &lt;=1, 5/6, AP$24-$I186 &lt;=5, (7-(AP$24-$I186))/6, AND(AP$24-$I186 =6,NOT(_xlfn.IFNA(ISNUMBER(SEARCH("Rending",$L186)),FALSE))), (7-(AP$24-$I186))/6, AND(AP$24-$I186 &gt;=7,NOT(_xlfn.IFNA(ISNUMBER(SEARCH("Rending",$L186)),FALSE))), 0, AP$24-$I186 =7, (7-(AP$24-1-$I186))/6, AP$24-$I186 =8, (7-(AP$24-2-$I186))/6*2/3, AP$24-$I186 =9, (7-(AP$24-3-$I186))/6*1/3, TRUE, 0) *
IF(ISNUMBER(SEARCH("Ordinance",$L186)),7/6,1) *
IF(OR(ISNUMBER(SEARCH("Melee",$L186)),ISNUMBER(SEARCH("Bypass",$L186))),1.5,1)</f>
        <v>0</v>
      </c>
      <c r="AQ186" s="17" cm="1">
        <f t="array" ref="AQ186">$H186 *
IF(ISNUMBER(SEARCH("Rapid",$L186)),7/6,1) *
IF(OR(ISNUMBER(SEARCH("Beam",$L186)),ISNUMBER(SEARCH("Firestorm",$L186))),1, IF(ISNUMBER(SEARCH("Blast",$L186)),(4+$G186+(2-$G186)*0.5)/6*2,(4+$G186)/6)) *
_xlfn.IFS(AQ$24-$I186 &lt;=1, 5/6, AQ$24-$I186 &lt;=5, (7-(AQ$24-$I186))/6, AND(AQ$24-$I186 =6,NOT(_xlfn.IFNA(ISNUMBER(SEARCH("Rending",$L186)),FALSE))), (7-(AQ$24-$I186))/6, AND(AQ$24-$I186 &gt;=7,NOT(_xlfn.IFNA(ISNUMBER(SEARCH("Rending",$L186)),FALSE))), 0, AQ$24-$I186 =7, (7-(AQ$24-1-$I186))/6, AQ$24-$I186 =8, (7-(AQ$24-2-$I186))/6*2/3, AQ$24-$I186 =9, (7-(AQ$24-3-$I186))/6*1/3, TRUE, 0) *
IF(ISNUMBER(SEARCH("Ordinance",$L186)),7/6,1) *
IF(OR(ISNUMBER(SEARCH("Melee",$L186)),ISNUMBER(SEARCH("Bypass",$L186))),1.5,1)</f>
        <v>0</v>
      </c>
      <c r="AS186" s="16">
        <f t="shared" si="44"/>
        <v>0.81481481481481488</v>
      </c>
      <c r="AT186" s="16">
        <f t="shared" si="45"/>
        <v>1.2222222222222223</v>
      </c>
      <c r="AU186" s="16">
        <f t="shared" si="46"/>
        <v>4.6296296296296306</v>
      </c>
      <c r="AV186" s="2">
        <v>11</v>
      </c>
    </row>
    <row r="187" spans="1:48" x14ac:dyDescent="0.3">
      <c r="A187" t="s">
        <v>652</v>
      </c>
      <c r="B187" s="3">
        <v>12</v>
      </c>
      <c r="C187" s="3">
        <v>36</v>
      </c>
      <c r="E187" s="3">
        <v>3</v>
      </c>
      <c r="F187" s="10"/>
      <c r="G187" s="10"/>
      <c r="H187" s="3">
        <v>6</v>
      </c>
      <c r="I187" s="3">
        <v>4</v>
      </c>
      <c r="K187" s="3">
        <v>0</v>
      </c>
      <c r="L187" s="3" t="s">
        <v>653</v>
      </c>
      <c r="M187" s="3" t="s">
        <v>225</v>
      </c>
      <c r="V187" s="16">
        <f t="shared" si="33"/>
        <v>1.3333333333333333</v>
      </c>
      <c r="W187" s="16">
        <f t="shared" si="34"/>
        <v>2</v>
      </c>
      <c r="X187" s="17" cm="1">
        <f t="array" ref="X187">$H187 *
IF(ISNUMBER(SEARCH("Rapid",$L187)),7/6,1) *
IF(OR(ISNUMBER(SEARCH("Beam",$L187)),ISNUMBER(SEARCH("Firestorm",$L187))),1, IF(ISNUMBER(SEARCH("Blast",$L187)),(4+$F187+(2-$F187)*0.5)/6*2,(4+$F187)/6)) *
IF(ISNUMBER(SEARCH("Fusion",$L187)), _xlfn.IFS(X$24-$I187 &lt;=1, 9/10, X$24-$I187 &lt;=10,(11-(X$24-$I187))/10, X$24-$I187 &gt;=11, 0),
_xlfn.IFS(X$24-$I187 &lt;=1, 5/6, X$24-$I187 &lt;=5, (7-(X$24-$I187))/6, AND(X$24-$I187 =6,NOT(_xlfn.IFNA(ISNUMBER(SEARCH("Rending",$L187)),FALSE))), (7-(X$24-$I187))/6, AND(X$24-$I187 &gt;=7,NOT(_xlfn.IFNA(ISNUMBER(SEARCH("Rending",$L187)),FALSE))), 0, X$24-$I187 =7, (7-(X$24-1-$I187))/6, X$24-$I187 =8, (7-(X$24-2-$I187))/6*2/3, X$24-$I187 =9, (7-(X$24-3-$I187))/6*1/3, TRUE, 0)) *
IF(ISNUMBER(SEARCH("Ordinance",$L187)),7/6,1) *
IF(OR(ISNUMBER(SEARCH("Melee",$L187)),ISNUMBER(SEARCH("Bypass",$L187))),1.5,1)</f>
        <v>1.3333333333333333</v>
      </c>
      <c r="Y187" s="17" cm="1">
        <f t="array" ref="Y187">$H187 *
IF(ISNUMBER(SEARCH("Rapid",$L187)),7/6,1) *
IF(OR(ISNUMBER(SEARCH("Beam",$L187)),ISNUMBER(SEARCH("Firestorm",$L187))),1, IF(ISNUMBER(SEARCH("Blast",$L187)),(4+$F187+(2-$F187)*0.5)/6*2,(4+$F187)/6)) *
IF(ISNUMBER(SEARCH("Fusion",$L187)), _xlfn.IFS(Y$24-$I187 &lt;=1, 9/10, Y$24-$I187 &lt;=10,(11-(Y$24-$I187))/10, Y$24-$I187 &gt;=11, 0),
_xlfn.IFS(Y$24-$I187 &lt;=1, 5/6, Y$24-$I187 &lt;=5, (7-(Y$24-$I187))/6, AND(Y$24-$I187 =6,NOT(_xlfn.IFNA(ISNUMBER(SEARCH("Rending",$L187)),FALSE))), (7-(Y$24-$I187))/6, AND(Y$24-$I187 &gt;=7,NOT(_xlfn.IFNA(ISNUMBER(SEARCH("Rending",$L187)),FALSE))), 0, Y$24-$I187 =7, (7-(Y$24-1-$I187))/6, Y$24-$I187 =8, (7-(Y$24-2-$I187))/6*2/3, Y$24-$I187 =9, (7-(Y$24-3-$I187))/6*1/3, TRUE, 0)) *
IF(ISNUMBER(SEARCH("Ordinance",$L187)),7/6,1) *
IF(OR(ISNUMBER(SEARCH("Melee",$L187)),ISNUMBER(SEARCH("Bypass",$L187))),1.5,1)</f>
        <v>0</v>
      </c>
      <c r="Z187" s="17" cm="1">
        <f t="array" ref="Z187">$H187 *
IF(ISNUMBER(SEARCH("Rapid",$L187)),7/6,1) *
IF(OR(ISNUMBER(SEARCH("Beam",$L187)),ISNUMBER(SEARCH("Firestorm",$L187))),1, IF(ISNUMBER(SEARCH("Blast",$L187)),(4+$F187+(2-$F187)*0.5)/6*2,(4+$F187)/6)) *
IF(ISNUMBER(SEARCH("Fusion",$L187)), _xlfn.IFS(Z$24-$I187 &lt;=1, 9/10, Z$24-$I187 &lt;=10,(11-(Z$24-$I187))/10, Z$24-$I187 &gt;=11, 0),
_xlfn.IFS(Z$24-$I187 &lt;=1, 5/6, Z$24-$I187 &lt;=5, (7-(Z$24-$I187))/6, AND(Z$24-$I187 =6,NOT(_xlfn.IFNA(ISNUMBER(SEARCH("Rending",$L187)),FALSE))), (7-(Z$24-$I187))/6, AND(Z$24-$I187 &gt;=7,NOT(_xlfn.IFNA(ISNUMBER(SEARCH("Rending",$L187)),FALSE))), 0, Z$24-$I187 =7, (7-(Z$24-1-$I187))/6, Z$24-$I187 =8, (7-(Z$24-2-$I187))/6*2/3, Z$24-$I187 =9, (7-(Z$24-3-$I187))/6*1/3, TRUE, 0)) *
IF(ISNUMBER(SEARCH("Ordinance",$L187)),7/6,1) *
IF(OR(ISNUMBER(SEARCH("Melee",$L187)),ISNUMBER(SEARCH("Bypass",$L187))),1.5,1)</f>
        <v>0.66666666666666663</v>
      </c>
      <c r="AA187" s="17" cm="1">
        <f t="array" ref="AA187">$H187 *
IF(ISNUMBER(SEARCH("Rapid",$L187)),7/6,1) *
IF(OR(ISNUMBER(SEARCH("Beam",$L187)),ISNUMBER(SEARCH("Firestorm",$L187))),1, IF(ISNUMBER(SEARCH("Blast",$L187)),(4+$F187+(2-$F187)*0.5)/6*2,(4+$F187)/6)) *
IF(ISNUMBER(SEARCH("Fusion",$L187)), _xlfn.IFS(AA$24-$I187 &lt;=1, 9/10, AA$24-$I187 &lt;=10,(11-(AA$24-$I187))/10, AA$24-$I187 &gt;=11, 0),
_xlfn.IFS(AA$24-$I187 &lt;=1, 5/6, AA$24-$I187 &lt;=5, (7-(AA$24-$I187))/6, AND(AA$24-$I187 =6,NOT(_xlfn.IFNA(ISNUMBER(SEARCH("Rending",$L187)),FALSE))), (7-(AA$24-$I187))/6, AND(AA$24-$I187 &gt;=7,NOT(_xlfn.IFNA(ISNUMBER(SEARCH("Rending",$L187)),FALSE))), 0, AA$24-$I187 =7, (7-(AA$24-1-$I187))/6, AA$24-$I187 =8, (7-(AA$24-2-$I187))/6*2/3, AA$24-$I187 =9, (7-(AA$24-3-$I187))/6*1/3, TRUE, 0)) *
IF(ISNUMBER(SEARCH("Ordinance",$L187)),7/6,1) *
IF(OR(ISNUMBER(SEARCH("Melee",$L187)),ISNUMBER(SEARCH("Bypass",$L187))),1.5,1)</f>
        <v>0.44444444444444442</v>
      </c>
      <c r="AB187" s="17" cm="1">
        <f t="array" ref="AB187">$H187 *
IF(ISNUMBER(SEARCH("Rapid",$L187)),7/6,1) *
IF(OR(ISNUMBER(SEARCH("Beam",$L187)),ISNUMBER(SEARCH("Firestorm",$L187))),1, IF(ISNUMBER(SEARCH("Blast",$L187)),(4+$F187+(2-$F187)*0.5)/6*2,(4+$F187)/6)) *
IF(ISNUMBER(SEARCH("Fusion",$L187)), _xlfn.IFS(AB$24-$I187 &lt;=1, 9/10, AB$24-$I187 &lt;=10,(11-(AB$24-$I187))/10, AB$24-$I187 &gt;=11, 0),
_xlfn.IFS(AB$24-$I187 &lt;=1, 5/6, AB$24-$I187 &lt;=5, (7-(AB$24-$I187))/6, AND(AB$24-$I187 =6,NOT(_xlfn.IFNA(ISNUMBER(SEARCH("Rending",$L187)),FALSE))), (7-(AB$24-$I187))/6, AND(AB$24-$I187 &gt;=7,NOT(_xlfn.IFNA(ISNUMBER(SEARCH("Rending",$L187)),FALSE))), 0, AB$24-$I187 =7, (7-(AB$24-1-$I187))/6, AB$24-$I187 =8, (7-(AB$24-2-$I187))/6*2/3, AB$24-$I187 =9, (7-(AB$24-3-$I187))/6*1/3, TRUE, 0)) *
IF(ISNUMBER(SEARCH("Ordinance",$L187)),7/6,1) *
IF(OR(ISNUMBER(SEARCH("Melee",$L187)),ISNUMBER(SEARCH("Bypass",$L187))),1.5,1)</f>
        <v>0.22222222222222221</v>
      </c>
      <c r="AC187" s="17" cm="1">
        <f t="array" ref="AC187">$H187 *
IF(ISNUMBER(SEARCH("Rapid",$L187)),7/6,1) *
IF(OR(ISNUMBER(SEARCH("Beam",$L187)),ISNUMBER(SEARCH("Firestorm",$L187))),1, IF(ISNUMBER(SEARCH("Blast",$L187)),(4+$F187+(2-$F187)*0.5)/6*2,(4+$F187)/6)) *
IF(ISNUMBER(SEARCH("Fusion",$L187)), _xlfn.IFS(AC$24-$I187 &lt;=1, 9/10, AC$24-$I187 &lt;=10,(11-(AC$24-$I187))/10, AC$24-$I187 &gt;=11, 0),
_xlfn.IFS(AC$24-$I187 &lt;=1, 5/6, AC$24-$I187 &lt;=5, (7-(AC$24-$I187))/6, AND(AC$24-$I187 =6,NOT(_xlfn.IFNA(ISNUMBER(SEARCH("Rending",$L187)),FALSE))), (7-(AC$24-$I187))/6, AND(AC$24-$I187 &gt;=7,NOT(_xlfn.IFNA(ISNUMBER(SEARCH("Rending",$L187)),FALSE))), 0, AC$24-$I187 =7, (7-(AC$24-1-$I187))/6, AC$24-$I187 =8, (7-(AC$24-2-$I187))/6*2/3, AC$24-$I187 =9, (7-(AC$24-3-$I187))/6*1/3, TRUE, 0)) *
IF(ISNUMBER(SEARCH("Ordinance",$L187)),7/6,1) *
IF(OR(ISNUMBER(SEARCH("Melee",$L187)),ISNUMBER(SEARCH("Bypass",$L187))),1.5,1)</f>
        <v>0</v>
      </c>
      <c r="AD187" s="17" cm="1">
        <f t="array" ref="AD187">$H187 *
IF(ISNUMBER(SEARCH("Rapid",$L187)),7/6,1) *
IF(OR(ISNUMBER(SEARCH("Beam",$L187)),ISNUMBER(SEARCH("Firestorm",$L187))),1, IF(ISNUMBER(SEARCH("Blast",$L187)),(4+$F187+(2-$F187)*0.5)/6*2,(4+$F187)/6)) *
IF(ISNUMBER(SEARCH("Fusion",$L187)), _xlfn.IFS(AD$24-$I187 &lt;=1, 9/10, AD$24-$I187 &lt;=10,(11-(AD$24-$I187))/10, AD$24-$I187 &gt;=11, 0),
_xlfn.IFS(AD$24-$I187 &lt;=1, 5/6, AD$24-$I187 &lt;=5, (7-(AD$24-$I187))/6, AND(AD$24-$I187 =6,NOT(_xlfn.IFNA(ISNUMBER(SEARCH("Rending",$L187)),FALSE))), (7-(AD$24-$I187))/6, AND(AD$24-$I187 &gt;=7,NOT(_xlfn.IFNA(ISNUMBER(SEARCH("Rending",$L187)),FALSE))), 0, AD$24-$I187 =7, (7-(AD$24-1-$I187))/6, AD$24-$I187 =8, (7-(AD$24-2-$I187))/6*2/3, AD$24-$I187 =9, (7-(AD$24-3-$I187))/6*1/3, TRUE, 0)) *
IF(ISNUMBER(SEARCH("Ordinance",$L187)),7/6,1) *
IF(OR(ISNUMBER(SEARCH("Melee",$L187)),ISNUMBER(SEARCH("Bypass",$L187))),1.5,1)</f>
        <v>0</v>
      </c>
      <c r="AE187" s="17" cm="1">
        <f t="array" ref="AE187">$H187 *
IF(ISNUMBER(SEARCH("Rapid",$L187)),7/6,1) *
IF(OR(ISNUMBER(SEARCH("Beam",$L187)),ISNUMBER(SEARCH("Firestorm",$L187))),1, IF(ISNUMBER(SEARCH("Blast",$L187)),(4+$F187+(2-$F187)*0.5)/6*2,(4+$F187)/6)) *
IF(ISNUMBER(SEARCH("Fusion",$L187)), _xlfn.IFS(AE$24-$I187 &lt;=1, 9/10, AE$24-$I187 &lt;=10,(11-(AE$24-$I187))/10, AE$24-$I187 &gt;=11, 0),
_xlfn.IFS(AE$24-$I187 &lt;=1, 5/6, AE$24-$I187 &lt;=5, (7-(AE$24-$I187))/6, AND(AE$24-$I187 =6,NOT(_xlfn.IFNA(ISNUMBER(SEARCH("Rending",$L187)),FALSE))), (7-(AE$24-$I187))/6, AND(AE$24-$I187 &gt;=7,NOT(_xlfn.IFNA(ISNUMBER(SEARCH("Rending",$L187)),FALSE))), 0, AE$24-$I187 =7, (7-(AE$24-1-$I187))/6, AE$24-$I187 =8, (7-(AE$24-2-$I187))/6*2/3, AE$24-$I187 =9, (7-(AE$24-3-$I187))/6*1/3, TRUE, 0)) *
IF(ISNUMBER(SEARCH("Ordinance",$L187)),7/6,1) *
IF(OR(ISNUMBER(SEARCH("Melee",$L187)),ISNUMBER(SEARCH("Bypass",$L187))),1.5,1)</f>
        <v>0</v>
      </c>
      <c r="AF187" s="17" cm="1">
        <f t="array" ref="AF187">$H187 *
IF(ISNUMBER(SEARCH("Rapid",$L187)),7/6,1) *
IF(OR(ISNUMBER(SEARCH("Beam",$L187)),ISNUMBER(SEARCH("Firestorm",$L187))),1, IF(ISNUMBER(SEARCH("Blast",$L187)),(4+$F187+(2-$F187)*0.5)/6*2,(4+$F187)/6)) *
IF(ISNUMBER(SEARCH("Fusion",$L187)), _xlfn.IFS(AF$24-$I187 &lt;=1, 9/10, AF$24-$I187 &lt;=10,(11-(AF$24-$I187))/10, AF$24-$I187 &gt;=11, 0),
_xlfn.IFS(AF$24-$I187 &lt;=1, 5/6, AF$24-$I187 &lt;=5, (7-(AF$24-$I187))/6, AND(AF$24-$I187 =6,NOT(_xlfn.IFNA(ISNUMBER(SEARCH("Rending",$L187)),FALSE))), (7-(AF$24-$I187))/6, AND(AF$24-$I187 &gt;=7,NOT(_xlfn.IFNA(ISNUMBER(SEARCH("Rending",$L187)),FALSE))), 0, AF$24-$I187 =7, (7-(AF$24-1-$I187))/6, AF$24-$I187 =8, (7-(AF$24-2-$I187))/6*2/3, AF$24-$I187 =9, (7-(AF$24-3-$I187))/6*1/3, TRUE, 0)) *
IF(ISNUMBER(SEARCH("Ordinance",$L187)),7/6,1) *
IF(OR(ISNUMBER(SEARCH("Melee",$L187)),ISNUMBER(SEARCH("Bypass",$L187))),1.5,1)</f>
        <v>0</v>
      </c>
      <c r="AG187" s="16">
        <f t="shared" si="35"/>
        <v>1.3333333333333333</v>
      </c>
      <c r="AH187" s="16">
        <f t="shared" si="36"/>
        <v>2</v>
      </c>
      <c r="AI187" s="17" cm="1">
        <f t="array" ref="AI187">$H187 *
IF(ISNUMBER(SEARCH("Rapid",$L187)),7/6,1) *
IF(OR(ISNUMBER(SEARCH("Beam",$L187)),ISNUMBER(SEARCH("Firestorm",$L187))),1, IF(ISNUMBER(SEARCH("Blast",$L187)),(4+$G187+(2-$G187)*0.5)/6*2,(4+$G187)/6)) *
_xlfn.IFS(AI$24-$I187 &lt;=1, 5/6, AI$24-$I187 &lt;=5, (7-(AI$24-$I187))/6, AND(AI$24-$I187 =6,NOT(_xlfn.IFNA(ISNUMBER(SEARCH("Rending",$L187)),FALSE))), (7-(AI$24-$I187))/6, AND(AI$24-$I187 &gt;=7,NOT(_xlfn.IFNA(ISNUMBER(SEARCH("Rending",$L187)),FALSE))), 0, AI$24-$I187 =7, (7-(AI$24-1-$I187))/6, AI$24-$I187 =8, (7-(AI$24-2-$I187))/6*2/3, AI$24-$I187 =9, (7-(AI$24-3-$I187))/6*1/3, TRUE, 0) *
IF(ISNUMBER(SEARCH("Ordinance",$L187)),7/6,1) *
IF(OR(ISNUMBER(SEARCH("Melee",$L187)),ISNUMBER(SEARCH("Bypass",$L187))),1.5,1)</f>
        <v>1.3333333333333333</v>
      </c>
      <c r="AJ187" s="17" cm="1">
        <f t="array" ref="AJ187">$H187 *
IF(ISNUMBER(SEARCH("Rapid",$L187)),7/6,1) *
IF(OR(ISNUMBER(SEARCH("Beam",$L187)),ISNUMBER(SEARCH("Firestorm",$L187))),1, IF(ISNUMBER(SEARCH("Blast",$L187)),(4+$G187+(2-$G187)*0.5)/6*2,(4+$G187)/6)) *
_xlfn.IFS(AJ$24-$I187 &lt;=1, 5/6, AJ$24-$I187 &lt;=5, (7-(AJ$24-$I187))/6, AND(AJ$24-$I187 =6,NOT(_xlfn.IFNA(ISNUMBER(SEARCH("Rending",$L187)),FALSE))), (7-(AJ$24-$I187))/6, AND(AJ$24-$I187 &gt;=7,NOT(_xlfn.IFNA(ISNUMBER(SEARCH("Rending",$L187)),FALSE))), 0, AJ$24-$I187 =7, (7-(AJ$24-1-$I187))/6, AJ$24-$I187 =8, (7-(AJ$24-2-$I187))/6*2/3, AJ$24-$I187 =9, (7-(AJ$24-3-$I187))/6*1/3, TRUE, 0) *
IF(ISNUMBER(SEARCH("Ordinance",$L187)),7/6,1) *
IF(OR(ISNUMBER(SEARCH("Melee",$L187)),ISNUMBER(SEARCH("Bypass",$L187))),1.5,1)</f>
        <v>0</v>
      </c>
      <c r="AK187" s="17" cm="1">
        <f t="array" ref="AK187">$H187 *
IF(ISNUMBER(SEARCH("Rapid",$L187)),7/6,1) *
IF(OR(ISNUMBER(SEARCH("Beam",$L187)),ISNUMBER(SEARCH("Firestorm",$L187))),1, IF(ISNUMBER(SEARCH("Blast",$L187)),(4+$G187+(2-$G187)*0.5)/6*2,(4+$G187)/6)) *
_xlfn.IFS(AK$24-$I187 &lt;=1, 5/6, AK$24-$I187 &lt;=5, (7-(AK$24-$I187))/6, AND(AK$24-$I187 =6,NOT(_xlfn.IFNA(ISNUMBER(SEARCH("Rending",$L187)),FALSE))), (7-(AK$24-$I187))/6, AND(AK$24-$I187 &gt;=7,NOT(_xlfn.IFNA(ISNUMBER(SEARCH("Rending",$L187)),FALSE))), 0, AK$24-$I187 =7, (7-(AK$24-1-$I187))/6, AK$24-$I187 =8, (7-(AK$24-2-$I187))/6*2/3, AK$24-$I187 =9, (7-(AK$24-3-$I187))/6*1/3, TRUE, 0) *
IF(ISNUMBER(SEARCH("Ordinance",$L187)),7/6,1) *
IF(OR(ISNUMBER(SEARCH("Melee",$L187)),ISNUMBER(SEARCH("Bypass",$L187))),1.5,1)</f>
        <v>0.66666666666666663</v>
      </c>
      <c r="AL187" s="17" cm="1">
        <f t="array" ref="AL187">$H187 *
IF(ISNUMBER(SEARCH("Rapid",$L187)),7/6,1) *
IF(OR(ISNUMBER(SEARCH("Beam",$L187)),ISNUMBER(SEARCH("Firestorm",$L187))),1, IF(ISNUMBER(SEARCH("Blast",$L187)),(4+$G187+(2-$G187)*0.5)/6*2,(4+$G187)/6)) *
_xlfn.IFS(AL$24-$I187 &lt;=1, 5/6, AL$24-$I187 &lt;=5, (7-(AL$24-$I187))/6, AND(AL$24-$I187 =6,NOT(_xlfn.IFNA(ISNUMBER(SEARCH("Rending",$L187)),FALSE))), (7-(AL$24-$I187))/6, AND(AL$24-$I187 &gt;=7,NOT(_xlfn.IFNA(ISNUMBER(SEARCH("Rending",$L187)),FALSE))), 0, AL$24-$I187 =7, (7-(AL$24-1-$I187))/6, AL$24-$I187 =8, (7-(AL$24-2-$I187))/6*2/3, AL$24-$I187 =9, (7-(AL$24-3-$I187))/6*1/3, TRUE, 0) *
IF(ISNUMBER(SEARCH("Ordinance",$L187)),7/6,1) *
IF(OR(ISNUMBER(SEARCH("Melee",$L187)),ISNUMBER(SEARCH("Bypass",$L187))),1.5,1)</f>
        <v>0.44444444444444442</v>
      </c>
      <c r="AM187" s="17" cm="1">
        <f t="array" ref="AM187">$H187 *
IF(ISNUMBER(SEARCH("Rapid",$L187)),7/6,1) *
IF(OR(ISNUMBER(SEARCH("Beam",$L187)),ISNUMBER(SEARCH("Firestorm",$L187))),1, IF(ISNUMBER(SEARCH("Blast",$L187)),(4+$G187+(2-$G187)*0.5)/6*2,(4+$G187)/6)) *
_xlfn.IFS(AM$24-$I187 &lt;=1, 5/6, AM$24-$I187 &lt;=5, (7-(AM$24-$I187))/6, AND(AM$24-$I187 =6,NOT(_xlfn.IFNA(ISNUMBER(SEARCH("Rending",$L187)),FALSE))), (7-(AM$24-$I187))/6, AND(AM$24-$I187 &gt;=7,NOT(_xlfn.IFNA(ISNUMBER(SEARCH("Rending",$L187)),FALSE))), 0, AM$24-$I187 =7, (7-(AM$24-1-$I187))/6, AM$24-$I187 =8, (7-(AM$24-2-$I187))/6*2/3, AM$24-$I187 =9, (7-(AM$24-3-$I187))/6*1/3, TRUE, 0) *
IF(ISNUMBER(SEARCH("Ordinance",$L187)),7/6,1) *
IF(OR(ISNUMBER(SEARCH("Melee",$L187)),ISNUMBER(SEARCH("Bypass",$L187))),1.5,1)</f>
        <v>0.22222222222222221</v>
      </c>
      <c r="AN187" s="17" cm="1">
        <f t="array" ref="AN187">$H187 *
IF(ISNUMBER(SEARCH("Rapid",$L187)),7/6,1) *
IF(OR(ISNUMBER(SEARCH("Beam",$L187)),ISNUMBER(SEARCH("Firestorm",$L187))),1, IF(ISNUMBER(SEARCH("Blast",$L187)),(4+$G187+(2-$G187)*0.5)/6*2,(4+$G187)/6)) *
_xlfn.IFS(AN$24-$I187 &lt;=1, 5/6, AN$24-$I187 &lt;=5, (7-(AN$24-$I187))/6, AND(AN$24-$I187 =6,NOT(_xlfn.IFNA(ISNUMBER(SEARCH("Rending",$L187)),FALSE))), (7-(AN$24-$I187))/6, AND(AN$24-$I187 &gt;=7,NOT(_xlfn.IFNA(ISNUMBER(SEARCH("Rending",$L187)),FALSE))), 0, AN$24-$I187 =7, (7-(AN$24-1-$I187))/6, AN$24-$I187 =8, (7-(AN$24-2-$I187))/6*2/3, AN$24-$I187 =9, (7-(AN$24-3-$I187))/6*1/3, TRUE, 0) *
IF(ISNUMBER(SEARCH("Ordinance",$L187)),7/6,1) *
IF(OR(ISNUMBER(SEARCH("Melee",$L187)),ISNUMBER(SEARCH("Bypass",$L187))),1.5,1)</f>
        <v>0</v>
      </c>
      <c r="AO187" s="17" cm="1">
        <f t="array" ref="AO187">$H187 *
IF(ISNUMBER(SEARCH("Rapid",$L187)),7/6,1) *
IF(OR(ISNUMBER(SEARCH("Beam",$L187)),ISNUMBER(SEARCH("Firestorm",$L187))),1, IF(ISNUMBER(SEARCH("Blast",$L187)),(4+$G187+(2-$G187)*0.5)/6*2,(4+$G187)/6)) *
_xlfn.IFS(AO$24-$I187 &lt;=1, 5/6, AO$24-$I187 &lt;=5, (7-(AO$24-$I187))/6, AND(AO$24-$I187 =6,NOT(_xlfn.IFNA(ISNUMBER(SEARCH("Rending",$L187)),FALSE))), (7-(AO$24-$I187))/6, AND(AO$24-$I187 &gt;=7,NOT(_xlfn.IFNA(ISNUMBER(SEARCH("Rending",$L187)),FALSE))), 0, AO$24-$I187 =7, (7-(AO$24-1-$I187))/6, AO$24-$I187 =8, (7-(AO$24-2-$I187))/6*2/3, AO$24-$I187 =9, (7-(AO$24-3-$I187))/6*1/3, TRUE, 0) *
IF(ISNUMBER(SEARCH("Ordinance",$L187)),7/6,1) *
IF(OR(ISNUMBER(SEARCH("Melee",$L187)),ISNUMBER(SEARCH("Bypass",$L187))),1.5,1)</f>
        <v>0</v>
      </c>
      <c r="AP187" s="17" cm="1">
        <f t="array" ref="AP187">$H187 *
IF(ISNUMBER(SEARCH("Rapid",$L187)),7/6,1) *
IF(OR(ISNUMBER(SEARCH("Beam",$L187)),ISNUMBER(SEARCH("Firestorm",$L187))),1, IF(ISNUMBER(SEARCH("Blast",$L187)),(4+$G187+(2-$G187)*0.5)/6*2,(4+$G187)/6)) *
_xlfn.IFS(AP$24-$I187 &lt;=1, 5/6, AP$24-$I187 &lt;=5, (7-(AP$24-$I187))/6, AND(AP$24-$I187 =6,NOT(_xlfn.IFNA(ISNUMBER(SEARCH("Rending",$L187)),FALSE))), (7-(AP$24-$I187))/6, AND(AP$24-$I187 &gt;=7,NOT(_xlfn.IFNA(ISNUMBER(SEARCH("Rending",$L187)),FALSE))), 0, AP$24-$I187 =7, (7-(AP$24-1-$I187))/6, AP$24-$I187 =8, (7-(AP$24-2-$I187))/6*2/3, AP$24-$I187 =9, (7-(AP$24-3-$I187))/6*1/3, TRUE, 0) *
IF(ISNUMBER(SEARCH("Ordinance",$L187)),7/6,1) *
IF(OR(ISNUMBER(SEARCH("Melee",$L187)),ISNUMBER(SEARCH("Bypass",$L187))),1.5,1)</f>
        <v>0</v>
      </c>
      <c r="AQ187" s="17" cm="1">
        <f t="array" ref="AQ187">$H187 *
IF(ISNUMBER(SEARCH("Rapid",$L187)),7/6,1) *
IF(OR(ISNUMBER(SEARCH("Beam",$L187)),ISNUMBER(SEARCH("Firestorm",$L187))),1, IF(ISNUMBER(SEARCH("Blast",$L187)),(4+$G187+(2-$G187)*0.5)/6*2,(4+$G187)/6)) *
_xlfn.IFS(AQ$24-$I187 &lt;=1, 5/6, AQ$24-$I187 &lt;=5, (7-(AQ$24-$I187))/6, AND(AQ$24-$I187 =6,NOT(_xlfn.IFNA(ISNUMBER(SEARCH("Rending",$L187)),FALSE))), (7-(AQ$24-$I187))/6, AND(AQ$24-$I187 &gt;=7,NOT(_xlfn.IFNA(ISNUMBER(SEARCH("Rending",$L187)),FALSE))), 0, AQ$24-$I187 =7, (7-(AQ$24-1-$I187))/6, AQ$24-$I187 =8, (7-(AQ$24-2-$I187))/6*2/3, AQ$24-$I187 =9, (7-(AQ$24-3-$I187))/6*1/3, TRUE, 0) *
IF(ISNUMBER(SEARCH("Ordinance",$L187)),7/6,1) *
IF(OR(ISNUMBER(SEARCH("Melee",$L187)),ISNUMBER(SEARCH("Bypass",$L187))),1.5,1)</f>
        <v>0</v>
      </c>
      <c r="AS187" s="16">
        <f t="shared" si="44"/>
        <v>0.48888888888888893</v>
      </c>
      <c r="AT187" s="16">
        <f t="shared" si="45"/>
        <v>0.73333333333333339</v>
      </c>
      <c r="AU187" s="16">
        <f t="shared" si="46"/>
        <v>1.1111111111111109</v>
      </c>
      <c r="AV187" s="2">
        <v>10</v>
      </c>
    </row>
    <row r="188" spans="1:48" x14ac:dyDescent="0.3">
      <c r="A188" t="s">
        <v>654</v>
      </c>
      <c r="B188" s="3">
        <v>4</v>
      </c>
      <c r="C188" s="3">
        <v>8</v>
      </c>
      <c r="E188" s="3">
        <v>1</v>
      </c>
      <c r="F188" s="10"/>
      <c r="G188" s="10"/>
      <c r="H188" s="3">
        <v>2</v>
      </c>
      <c r="I188" s="3">
        <v>4</v>
      </c>
      <c r="K188" s="3">
        <v>10</v>
      </c>
      <c r="L188" s="3" t="s">
        <v>487</v>
      </c>
      <c r="M188" s="3" t="s">
        <v>225</v>
      </c>
      <c r="V188" s="16">
        <f t="shared" si="33"/>
        <v>1.0744444444444443</v>
      </c>
      <c r="W188" s="16">
        <f t="shared" si="34"/>
        <v>1.6116666666666666</v>
      </c>
      <c r="X188" s="17" cm="1">
        <f t="array" ref="X188">$H188 *
IF(ISNUMBER(SEARCH("Rapid",$L188)),7/6,1) *
IF(OR(ISNUMBER(SEARCH("Beam",$L188)),ISNUMBER(SEARCH("Firestorm",$L188))),1, IF(ISNUMBER(SEARCH("Blast",$L188)),(4+$F188+(2-$F188)*0.5)/6*2,(4+$F188)/6)) *
IF(ISNUMBER(SEARCH("Fusion",$L188)), _xlfn.IFS(X$24-$I188 &lt;=1, 9/10, X$24-$I188 &lt;=10,(11-(X$24-$I188))/10, X$24-$I188 &gt;=11, 0),
_xlfn.IFS(X$24-$I188 &lt;=1, 5/6, X$24-$I188 &lt;=5, (7-(X$24-$I188))/6, AND(X$24-$I188 =6,NOT(_xlfn.IFNA(ISNUMBER(SEARCH("Rending",$L188)),FALSE))), (7-(X$24-$I188))/6, AND(X$24-$I188 &gt;=7,NOT(_xlfn.IFNA(ISNUMBER(SEARCH("Rending",$L188)),FALSE))), 0, X$24-$I188 =7, (7-(X$24-1-$I188))/6, X$24-$I188 =8, (7-(X$24-2-$I188))/6*2/3, X$24-$I188 =9, (7-(X$24-3-$I188))/6*1/3, TRUE, 0)) *
IF(ISNUMBER(SEARCH("Ordinance",$L188)),7/6,1) *
IF(OR(ISNUMBER(SEARCH("Melee",$L188)),ISNUMBER(SEARCH("Bypass",$L188))),1.5,1)</f>
        <v>0.44444444444444442</v>
      </c>
      <c r="Y188" s="17" cm="1">
        <f t="array" ref="Y188">$H188 *
IF(ISNUMBER(SEARCH("Rapid",$L188)),7/6,1) *
IF(OR(ISNUMBER(SEARCH("Beam",$L188)),ISNUMBER(SEARCH("Firestorm",$L188))),1, IF(ISNUMBER(SEARCH("Blast",$L188)),(4+$F188+(2-$F188)*0.5)/6*2,(4+$F188)/6)) *
IF(ISNUMBER(SEARCH("Fusion",$L188)), _xlfn.IFS(Y$24-$I188 &lt;=1, 9/10, Y$24-$I188 &lt;=10,(11-(Y$24-$I188))/10, Y$24-$I188 &gt;=11, 0),
_xlfn.IFS(Y$24-$I188 &lt;=1, 5/6, Y$24-$I188 &lt;=5, (7-(Y$24-$I188))/6, AND(Y$24-$I188 =6,NOT(_xlfn.IFNA(ISNUMBER(SEARCH("Rending",$L188)),FALSE))), (7-(Y$24-$I188))/6, AND(Y$24-$I188 &gt;=7,NOT(_xlfn.IFNA(ISNUMBER(SEARCH("Rending",$L188)),FALSE))), 0, Y$24-$I188 =7, (7-(Y$24-1-$I188))/6, Y$24-$I188 =8, (7-(Y$24-2-$I188))/6*2/3, Y$24-$I188 =9, (7-(Y$24-3-$I188))/6*1/3, TRUE, 0)) *
IF(ISNUMBER(SEARCH("Ordinance",$L188)),7/6,1) *
IF(OR(ISNUMBER(SEARCH("Melee",$L188)),ISNUMBER(SEARCH("Bypass",$L188))),1.5,1)</f>
        <v>0.22222222222222221</v>
      </c>
      <c r="Z188" s="17" cm="1">
        <f t="array" ref="Z188">$H188 *
IF(ISNUMBER(SEARCH("Rapid",$L188)),7/6,1) *
IF(OR(ISNUMBER(SEARCH("Beam",$L188)),ISNUMBER(SEARCH("Firestorm",$L188))),1, IF(ISNUMBER(SEARCH("Blast",$L188)),(4+$F188+(2-$F188)*0.5)/6*2,(4+$F188)/6)) *
IF(ISNUMBER(SEARCH("Fusion",$L188)), _xlfn.IFS(Z$24-$I188 &lt;=1, 9/10, Z$24-$I188 &lt;=10,(11-(Z$24-$I188))/10, Z$24-$I188 &gt;=11, 0),
_xlfn.IFS(Z$24-$I188 &lt;=1, 5/6, Z$24-$I188 &lt;=5, (7-(Z$24-$I188))/6, AND(Z$24-$I188 =6,NOT(_xlfn.IFNA(ISNUMBER(SEARCH("Rending",$L188)),FALSE))), (7-(Z$24-$I188))/6, AND(Z$24-$I188 &gt;=7,NOT(_xlfn.IFNA(ISNUMBER(SEARCH("Rending",$L188)),FALSE))), 0, Z$24-$I188 =7, (7-(Z$24-1-$I188))/6, Z$24-$I188 =8, (7-(Z$24-2-$I188))/6*2/3, Z$24-$I188 =9, (7-(Z$24-3-$I188))/6*1/3, TRUE, 0)) *
IF(ISNUMBER(SEARCH("Ordinance",$L188)),7/6,1) *
IF(OR(ISNUMBER(SEARCH("Melee",$L188)),ISNUMBER(SEARCH("Bypass",$L188))),1.5,1)</f>
        <v>0</v>
      </c>
      <c r="AA188" s="17" cm="1">
        <f t="array" ref="AA188">$H188 *
IF(ISNUMBER(SEARCH("Rapid",$L188)),7/6,1) *
IF(OR(ISNUMBER(SEARCH("Beam",$L188)),ISNUMBER(SEARCH("Firestorm",$L188))),1, IF(ISNUMBER(SEARCH("Blast",$L188)),(4+$F188+(2-$F188)*0.5)/6*2,(4+$F188)/6)) *
IF(ISNUMBER(SEARCH("Fusion",$L188)), _xlfn.IFS(AA$24-$I188 &lt;=1, 9/10, AA$24-$I188 &lt;=10,(11-(AA$24-$I188))/10, AA$24-$I188 &gt;=11, 0),
_xlfn.IFS(AA$24-$I188 &lt;=1, 5/6, AA$24-$I188 &lt;=5, (7-(AA$24-$I188))/6, AND(AA$24-$I188 =6,NOT(_xlfn.IFNA(ISNUMBER(SEARCH("Rending",$L188)),FALSE))), (7-(AA$24-$I188))/6, AND(AA$24-$I188 &gt;=7,NOT(_xlfn.IFNA(ISNUMBER(SEARCH("Rending",$L188)),FALSE))), 0, AA$24-$I188 =7, (7-(AA$24-1-$I188))/6, AA$24-$I188 =8, (7-(AA$24-2-$I188))/6*2/3, AA$24-$I188 =9, (7-(AA$24-3-$I188))/6*1/3, TRUE, 0)) *
IF(ISNUMBER(SEARCH("Ordinance",$L188)),7/6,1) *
IF(OR(ISNUMBER(SEARCH("Melee",$L188)),ISNUMBER(SEARCH("Bypass",$L188))),1.5,1)</f>
        <v>0</v>
      </c>
      <c r="AB188" s="17" cm="1">
        <f t="array" ref="AB188">$H188 *
IF(ISNUMBER(SEARCH("Rapid",$L188)),7/6,1) *
IF(OR(ISNUMBER(SEARCH("Beam",$L188)),ISNUMBER(SEARCH("Firestorm",$L188))),1, IF(ISNUMBER(SEARCH("Blast",$L188)),(4+$F188+(2-$F188)*0.5)/6*2,(4+$F188)/6)) *
IF(ISNUMBER(SEARCH("Fusion",$L188)), _xlfn.IFS(AB$24-$I188 &lt;=1, 9/10, AB$24-$I188 &lt;=10,(11-(AB$24-$I188))/10, AB$24-$I188 &gt;=11, 0),
_xlfn.IFS(AB$24-$I188 &lt;=1, 5/6, AB$24-$I188 &lt;=5, (7-(AB$24-$I188))/6, AND(AB$24-$I188 =6,NOT(_xlfn.IFNA(ISNUMBER(SEARCH("Rending",$L188)),FALSE))), (7-(AB$24-$I188))/6, AND(AB$24-$I188 &gt;=7,NOT(_xlfn.IFNA(ISNUMBER(SEARCH("Rending",$L188)),FALSE))), 0, AB$24-$I188 =7, (7-(AB$24-1-$I188))/6, AB$24-$I188 =8, (7-(AB$24-2-$I188))/6*2/3, AB$24-$I188 =9, (7-(AB$24-3-$I188))/6*1/3, TRUE, 0)) *
IF(ISNUMBER(SEARCH("Ordinance",$L188)),7/6,1) *
IF(OR(ISNUMBER(SEARCH("Melee",$L188)),ISNUMBER(SEARCH("Bypass",$L188))),1.5,1)</f>
        <v>0</v>
      </c>
      <c r="AC188" s="17" cm="1">
        <f t="array" ref="AC188">$H188 *
IF(ISNUMBER(SEARCH("Rapid",$L188)),7/6,1) *
IF(OR(ISNUMBER(SEARCH("Beam",$L188)),ISNUMBER(SEARCH("Firestorm",$L188))),1, IF(ISNUMBER(SEARCH("Blast",$L188)),(4+$F188+(2-$F188)*0.5)/6*2,(4+$F188)/6)) *
IF(ISNUMBER(SEARCH("Fusion",$L188)), _xlfn.IFS(AC$24-$I188 &lt;=1, 9/10, AC$24-$I188 &lt;=10,(11-(AC$24-$I188))/10, AC$24-$I188 &gt;=11, 0),
_xlfn.IFS(AC$24-$I188 &lt;=1, 5/6, AC$24-$I188 &lt;=5, (7-(AC$24-$I188))/6, AND(AC$24-$I188 =6,NOT(_xlfn.IFNA(ISNUMBER(SEARCH("Rending",$L188)),FALSE))), (7-(AC$24-$I188))/6, AND(AC$24-$I188 &gt;=7,NOT(_xlfn.IFNA(ISNUMBER(SEARCH("Rending",$L188)),FALSE))), 0, AC$24-$I188 =7, (7-(AC$24-1-$I188))/6, AC$24-$I188 =8, (7-(AC$24-2-$I188))/6*2/3, AC$24-$I188 =9, (7-(AC$24-3-$I188))/6*1/3, TRUE, 0)) *
IF(ISNUMBER(SEARCH("Ordinance",$L188)),7/6,1) *
IF(OR(ISNUMBER(SEARCH("Melee",$L188)),ISNUMBER(SEARCH("Bypass",$L188))),1.5,1)</f>
        <v>0</v>
      </c>
      <c r="AD188" s="17" cm="1">
        <f t="array" ref="AD188">$H188 *
IF(ISNUMBER(SEARCH("Rapid",$L188)),7/6,1) *
IF(OR(ISNUMBER(SEARCH("Beam",$L188)),ISNUMBER(SEARCH("Firestorm",$L188))),1, IF(ISNUMBER(SEARCH("Blast",$L188)),(4+$F188+(2-$F188)*0.5)/6*2,(4+$F188)/6)) *
IF(ISNUMBER(SEARCH("Fusion",$L188)), _xlfn.IFS(AD$24-$I188 &lt;=1, 9/10, AD$24-$I188 &lt;=10,(11-(AD$24-$I188))/10, AD$24-$I188 &gt;=11, 0),
_xlfn.IFS(AD$24-$I188 &lt;=1, 5/6, AD$24-$I188 &lt;=5, (7-(AD$24-$I188))/6, AND(AD$24-$I188 =6,NOT(_xlfn.IFNA(ISNUMBER(SEARCH("Rending",$L188)),FALSE))), (7-(AD$24-$I188))/6, AND(AD$24-$I188 &gt;=7,NOT(_xlfn.IFNA(ISNUMBER(SEARCH("Rending",$L188)),FALSE))), 0, AD$24-$I188 =7, (7-(AD$24-1-$I188))/6, AD$24-$I188 =8, (7-(AD$24-2-$I188))/6*2/3, AD$24-$I188 =9, (7-(AD$24-3-$I188))/6*1/3, TRUE, 0)) *
IF(ISNUMBER(SEARCH("Ordinance",$L188)),7/6,1) *
IF(OR(ISNUMBER(SEARCH("Melee",$L188)),ISNUMBER(SEARCH("Bypass",$L188))),1.5,1)</f>
        <v>0</v>
      </c>
      <c r="AE188" s="17" cm="1">
        <f t="array" ref="AE188">$H188 *
IF(ISNUMBER(SEARCH("Rapid",$L188)),7/6,1) *
IF(OR(ISNUMBER(SEARCH("Beam",$L188)),ISNUMBER(SEARCH("Firestorm",$L188))),1, IF(ISNUMBER(SEARCH("Blast",$L188)),(4+$F188+(2-$F188)*0.5)/6*2,(4+$F188)/6)) *
IF(ISNUMBER(SEARCH("Fusion",$L188)), _xlfn.IFS(AE$24-$I188 &lt;=1, 9/10, AE$24-$I188 &lt;=10,(11-(AE$24-$I188))/10, AE$24-$I188 &gt;=11, 0),
_xlfn.IFS(AE$24-$I188 &lt;=1, 5/6, AE$24-$I188 &lt;=5, (7-(AE$24-$I188))/6, AND(AE$24-$I188 =6,NOT(_xlfn.IFNA(ISNUMBER(SEARCH("Rending",$L188)),FALSE))), (7-(AE$24-$I188))/6, AND(AE$24-$I188 &gt;=7,NOT(_xlfn.IFNA(ISNUMBER(SEARCH("Rending",$L188)),FALSE))), 0, AE$24-$I188 =7, (7-(AE$24-1-$I188))/6, AE$24-$I188 =8, (7-(AE$24-2-$I188))/6*2/3, AE$24-$I188 =9, (7-(AE$24-3-$I188))/6*1/3, TRUE, 0)) *
IF(ISNUMBER(SEARCH("Ordinance",$L188)),7/6,1) *
IF(OR(ISNUMBER(SEARCH("Melee",$L188)),ISNUMBER(SEARCH("Bypass",$L188))),1.5,1)</f>
        <v>0</v>
      </c>
      <c r="AF188" s="17" cm="1">
        <f t="array" ref="AF188">$H188 *
IF(ISNUMBER(SEARCH("Rapid",$L188)),7/6,1) *
IF(OR(ISNUMBER(SEARCH("Beam",$L188)),ISNUMBER(SEARCH("Firestorm",$L188))),1, IF(ISNUMBER(SEARCH("Blast",$L188)),(4+$F188+(2-$F188)*0.5)/6*2,(4+$F188)/6)) *
IF(ISNUMBER(SEARCH("Fusion",$L188)), _xlfn.IFS(AF$24-$I188 &lt;=1, 9/10, AF$24-$I188 &lt;=10,(11-(AF$24-$I188))/10, AF$24-$I188 &gt;=11, 0),
_xlfn.IFS(AF$24-$I188 &lt;=1, 5/6, AF$24-$I188 &lt;=5, (7-(AF$24-$I188))/6, AND(AF$24-$I188 =6,NOT(_xlfn.IFNA(ISNUMBER(SEARCH("Rending",$L188)),FALSE))), (7-(AF$24-$I188))/6, AND(AF$24-$I188 &gt;=7,NOT(_xlfn.IFNA(ISNUMBER(SEARCH("Rending",$L188)),FALSE))), 0, AF$24-$I188 =7, (7-(AF$24-1-$I188))/6, AF$24-$I188 =8, (7-(AF$24-2-$I188))/6*2/3, AF$24-$I188 =9, (7-(AF$24-3-$I188))/6*1/3, TRUE, 0)) *
IF(ISNUMBER(SEARCH("Ordinance",$L188)),7/6,1) *
IF(OR(ISNUMBER(SEARCH("Melee",$L188)),ISNUMBER(SEARCH("Bypass",$L188))),1.5,1)</f>
        <v>0</v>
      </c>
      <c r="AG188" s="16">
        <f t="shared" si="35"/>
        <v>1.0744444444444443</v>
      </c>
      <c r="AH188" s="16">
        <f t="shared" si="36"/>
        <v>1.6116666666666666</v>
      </c>
      <c r="AI188" s="17" cm="1">
        <f t="array" ref="AI188">$H188 *
IF(ISNUMBER(SEARCH("Rapid",$L188)),7/6,1) *
IF(OR(ISNUMBER(SEARCH("Beam",$L188)),ISNUMBER(SEARCH("Firestorm",$L188))),1, IF(ISNUMBER(SEARCH("Blast",$L188)),(4+$G188+(2-$G188)*0.5)/6*2,(4+$G188)/6)) *
_xlfn.IFS(AI$24-$I188 &lt;=1, 5/6, AI$24-$I188 &lt;=5, (7-(AI$24-$I188))/6, AND(AI$24-$I188 =6,NOT(_xlfn.IFNA(ISNUMBER(SEARCH("Rending",$L188)),FALSE))), (7-(AI$24-$I188))/6, AND(AI$24-$I188 &gt;=7,NOT(_xlfn.IFNA(ISNUMBER(SEARCH("Rending",$L188)),FALSE))), 0, AI$24-$I188 =7, (7-(AI$24-1-$I188))/6, AI$24-$I188 =8, (7-(AI$24-2-$I188))/6*2/3, AI$24-$I188 =9, (7-(AI$24-3-$I188))/6*1/3, TRUE, 0) *
IF(ISNUMBER(SEARCH("Ordinance",$L188)),7/6,1) *
IF(OR(ISNUMBER(SEARCH("Melee",$L188)),ISNUMBER(SEARCH("Bypass",$L188))),1.5,1)</f>
        <v>0.44444444444444442</v>
      </c>
      <c r="AJ188" s="17" cm="1">
        <f t="array" ref="AJ188">$H188 *
IF(ISNUMBER(SEARCH("Rapid",$L188)),7/6,1) *
IF(OR(ISNUMBER(SEARCH("Beam",$L188)),ISNUMBER(SEARCH("Firestorm",$L188))),1, IF(ISNUMBER(SEARCH("Blast",$L188)),(4+$G188+(2-$G188)*0.5)/6*2,(4+$G188)/6)) *
_xlfn.IFS(AJ$24-$I188 &lt;=1, 5/6, AJ$24-$I188 &lt;=5, (7-(AJ$24-$I188))/6, AND(AJ$24-$I188 =6,NOT(_xlfn.IFNA(ISNUMBER(SEARCH("Rending",$L188)),FALSE))), (7-(AJ$24-$I188))/6, AND(AJ$24-$I188 &gt;=7,NOT(_xlfn.IFNA(ISNUMBER(SEARCH("Rending",$L188)),FALSE))), 0, AJ$24-$I188 =7, (7-(AJ$24-1-$I188))/6, AJ$24-$I188 =8, (7-(AJ$24-2-$I188))/6*2/3, AJ$24-$I188 =9, (7-(AJ$24-3-$I188))/6*1/3, TRUE, 0) *
IF(ISNUMBER(SEARCH("Ordinance",$L188)),7/6,1) *
IF(OR(ISNUMBER(SEARCH("Melee",$L188)),ISNUMBER(SEARCH("Bypass",$L188))),1.5,1)</f>
        <v>0.22222222222222221</v>
      </c>
      <c r="AK188" s="17" cm="1">
        <f t="array" ref="AK188">$H188 *
IF(ISNUMBER(SEARCH("Rapid",$L188)),7/6,1) *
IF(OR(ISNUMBER(SEARCH("Beam",$L188)),ISNUMBER(SEARCH("Firestorm",$L188))),1, IF(ISNUMBER(SEARCH("Blast",$L188)),(4+$G188+(2-$G188)*0.5)/6*2,(4+$G188)/6)) *
_xlfn.IFS(AK$24-$I188 &lt;=1, 5/6, AK$24-$I188 &lt;=5, (7-(AK$24-$I188))/6, AND(AK$24-$I188 =6,NOT(_xlfn.IFNA(ISNUMBER(SEARCH("Rending",$L188)),FALSE))), (7-(AK$24-$I188))/6, AND(AK$24-$I188 &gt;=7,NOT(_xlfn.IFNA(ISNUMBER(SEARCH("Rending",$L188)),FALSE))), 0, AK$24-$I188 =7, (7-(AK$24-1-$I188))/6, AK$24-$I188 =8, (7-(AK$24-2-$I188))/6*2/3, AK$24-$I188 =9, (7-(AK$24-3-$I188))/6*1/3, TRUE, 0) *
IF(ISNUMBER(SEARCH("Ordinance",$L188)),7/6,1) *
IF(OR(ISNUMBER(SEARCH("Melee",$L188)),ISNUMBER(SEARCH("Bypass",$L188))),1.5,1)</f>
        <v>0</v>
      </c>
      <c r="AL188" s="17" cm="1">
        <f t="array" ref="AL188">$H188 *
IF(ISNUMBER(SEARCH("Rapid",$L188)),7/6,1) *
IF(OR(ISNUMBER(SEARCH("Beam",$L188)),ISNUMBER(SEARCH("Firestorm",$L188))),1, IF(ISNUMBER(SEARCH("Blast",$L188)),(4+$G188+(2-$G188)*0.5)/6*2,(4+$G188)/6)) *
_xlfn.IFS(AL$24-$I188 &lt;=1, 5/6, AL$24-$I188 &lt;=5, (7-(AL$24-$I188))/6, AND(AL$24-$I188 =6,NOT(_xlfn.IFNA(ISNUMBER(SEARCH("Rending",$L188)),FALSE))), (7-(AL$24-$I188))/6, AND(AL$24-$I188 &gt;=7,NOT(_xlfn.IFNA(ISNUMBER(SEARCH("Rending",$L188)),FALSE))), 0, AL$24-$I188 =7, (7-(AL$24-1-$I188))/6, AL$24-$I188 =8, (7-(AL$24-2-$I188))/6*2/3, AL$24-$I188 =9, (7-(AL$24-3-$I188))/6*1/3, TRUE, 0) *
IF(ISNUMBER(SEARCH("Ordinance",$L188)),7/6,1) *
IF(OR(ISNUMBER(SEARCH("Melee",$L188)),ISNUMBER(SEARCH("Bypass",$L188))),1.5,1)</f>
        <v>0</v>
      </c>
      <c r="AM188" s="17" cm="1">
        <f t="array" ref="AM188">$H188 *
IF(ISNUMBER(SEARCH("Rapid",$L188)),7/6,1) *
IF(OR(ISNUMBER(SEARCH("Beam",$L188)),ISNUMBER(SEARCH("Firestorm",$L188))),1, IF(ISNUMBER(SEARCH("Blast",$L188)),(4+$G188+(2-$G188)*0.5)/6*2,(4+$G188)/6)) *
_xlfn.IFS(AM$24-$I188 &lt;=1, 5/6, AM$24-$I188 &lt;=5, (7-(AM$24-$I188))/6, AND(AM$24-$I188 =6,NOT(_xlfn.IFNA(ISNUMBER(SEARCH("Rending",$L188)),FALSE))), (7-(AM$24-$I188))/6, AND(AM$24-$I188 &gt;=7,NOT(_xlfn.IFNA(ISNUMBER(SEARCH("Rending",$L188)),FALSE))), 0, AM$24-$I188 =7, (7-(AM$24-1-$I188))/6, AM$24-$I188 =8, (7-(AM$24-2-$I188))/6*2/3, AM$24-$I188 =9, (7-(AM$24-3-$I188))/6*1/3, TRUE, 0) *
IF(ISNUMBER(SEARCH("Ordinance",$L188)),7/6,1) *
IF(OR(ISNUMBER(SEARCH("Melee",$L188)),ISNUMBER(SEARCH("Bypass",$L188))),1.5,1)</f>
        <v>0</v>
      </c>
      <c r="AN188" s="17" cm="1">
        <f t="array" ref="AN188">$H188 *
IF(ISNUMBER(SEARCH("Rapid",$L188)),7/6,1) *
IF(OR(ISNUMBER(SEARCH("Beam",$L188)),ISNUMBER(SEARCH("Firestorm",$L188))),1, IF(ISNUMBER(SEARCH("Blast",$L188)),(4+$G188+(2-$G188)*0.5)/6*2,(4+$G188)/6)) *
_xlfn.IFS(AN$24-$I188 &lt;=1, 5/6, AN$24-$I188 &lt;=5, (7-(AN$24-$I188))/6, AND(AN$24-$I188 =6,NOT(_xlfn.IFNA(ISNUMBER(SEARCH("Rending",$L188)),FALSE))), (7-(AN$24-$I188))/6, AND(AN$24-$I188 &gt;=7,NOT(_xlfn.IFNA(ISNUMBER(SEARCH("Rending",$L188)),FALSE))), 0, AN$24-$I188 =7, (7-(AN$24-1-$I188))/6, AN$24-$I188 =8, (7-(AN$24-2-$I188))/6*2/3, AN$24-$I188 =9, (7-(AN$24-3-$I188))/6*1/3, TRUE, 0) *
IF(ISNUMBER(SEARCH("Ordinance",$L188)),7/6,1) *
IF(OR(ISNUMBER(SEARCH("Melee",$L188)),ISNUMBER(SEARCH("Bypass",$L188))),1.5,1)</f>
        <v>0</v>
      </c>
      <c r="AO188" s="17" cm="1">
        <f t="array" ref="AO188">$H188 *
IF(ISNUMBER(SEARCH("Rapid",$L188)),7/6,1) *
IF(OR(ISNUMBER(SEARCH("Beam",$L188)),ISNUMBER(SEARCH("Firestorm",$L188))),1, IF(ISNUMBER(SEARCH("Blast",$L188)),(4+$G188+(2-$G188)*0.5)/6*2,(4+$G188)/6)) *
_xlfn.IFS(AO$24-$I188 &lt;=1, 5/6, AO$24-$I188 &lt;=5, (7-(AO$24-$I188))/6, AND(AO$24-$I188 =6,NOT(_xlfn.IFNA(ISNUMBER(SEARCH("Rending",$L188)),FALSE))), (7-(AO$24-$I188))/6, AND(AO$24-$I188 &gt;=7,NOT(_xlfn.IFNA(ISNUMBER(SEARCH("Rending",$L188)),FALSE))), 0, AO$24-$I188 =7, (7-(AO$24-1-$I188))/6, AO$24-$I188 =8, (7-(AO$24-2-$I188))/6*2/3, AO$24-$I188 =9, (7-(AO$24-3-$I188))/6*1/3, TRUE, 0) *
IF(ISNUMBER(SEARCH("Ordinance",$L188)),7/6,1) *
IF(OR(ISNUMBER(SEARCH("Melee",$L188)),ISNUMBER(SEARCH("Bypass",$L188))),1.5,1)</f>
        <v>0</v>
      </c>
      <c r="AP188" s="17" cm="1">
        <f t="array" ref="AP188">$H188 *
IF(ISNUMBER(SEARCH("Rapid",$L188)),7/6,1) *
IF(OR(ISNUMBER(SEARCH("Beam",$L188)),ISNUMBER(SEARCH("Firestorm",$L188))),1, IF(ISNUMBER(SEARCH("Blast",$L188)),(4+$G188+(2-$G188)*0.5)/6*2,(4+$G188)/6)) *
_xlfn.IFS(AP$24-$I188 &lt;=1, 5/6, AP$24-$I188 &lt;=5, (7-(AP$24-$I188))/6, AND(AP$24-$I188 =6,NOT(_xlfn.IFNA(ISNUMBER(SEARCH("Rending",$L188)),FALSE))), (7-(AP$24-$I188))/6, AND(AP$24-$I188 &gt;=7,NOT(_xlfn.IFNA(ISNUMBER(SEARCH("Rending",$L188)),FALSE))), 0, AP$24-$I188 =7, (7-(AP$24-1-$I188))/6, AP$24-$I188 =8, (7-(AP$24-2-$I188))/6*2/3, AP$24-$I188 =9, (7-(AP$24-3-$I188))/6*1/3, TRUE, 0) *
IF(ISNUMBER(SEARCH("Ordinance",$L188)),7/6,1) *
IF(OR(ISNUMBER(SEARCH("Melee",$L188)),ISNUMBER(SEARCH("Bypass",$L188))),1.5,1)</f>
        <v>0</v>
      </c>
      <c r="AQ188" s="17" cm="1">
        <f t="array" ref="AQ188">$H188 *
IF(ISNUMBER(SEARCH("Rapid",$L188)),7/6,1) *
IF(OR(ISNUMBER(SEARCH("Beam",$L188)),ISNUMBER(SEARCH("Firestorm",$L188))),1, IF(ISNUMBER(SEARCH("Blast",$L188)),(4+$G188+(2-$G188)*0.5)/6*2,(4+$G188)/6)) *
_xlfn.IFS(AQ$24-$I188 &lt;=1, 5/6, AQ$24-$I188 &lt;=5, (7-(AQ$24-$I188))/6, AND(AQ$24-$I188 =6,NOT(_xlfn.IFNA(ISNUMBER(SEARCH("Rending",$L188)),FALSE))), (7-(AQ$24-$I188))/6, AND(AQ$24-$I188 &gt;=7,NOT(_xlfn.IFNA(ISNUMBER(SEARCH("Rending",$L188)),FALSE))), 0, AQ$24-$I188 =7, (7-(AQ$24-1-$I188))/6, AQ$24-$I188 =8, (7-(AQ$24-2-$I188))/6*2/3, AQ$24-$I188 =9, (7-(AQ$24-3-$I188))/6*1/3, TRUE, 0) *
IF(ISNUMBER(SEARCH("Ordinance",$L188)),7/6,1) *
IF(OR(ISNUMBER(SEARCH("Melee",$L188)),ISNUMBER(SEARCH("Bypass",$L188))),1.5,1)</f>
        <v>0</v>
      </c>
      <c r="AS188" s="16">
        <f t="shared" si="44"/>
        <v>1.0744444444444443</v>
      </c>
      <c r="AT188" s="16">
        <f t="shared" si="45"/>
        <v>1.6116666666666666</v>
      </c>
      <c r="AU188" s="16">
        <f t="shared" si="46"/>
        <v>0.14074074074074072</v>
      </c>
      <c r="AV188" s="2">
        <v>10</v>
      </c>
    </row>
    <row r="189" spans="1:48" x14ac:dyDescent="0.3">
      <c r="A189" t="s">
        <v>790</v>
      </c>
      <c r="B189" s="3">
        <v>6</v>
      </c>
      <c r="C189" s="3">
        <v>48</v>
      </c>
      <c r="D189" s="3">
        <v>0</v>
      </c>
      <c r="E189" s="3">
        <v>2</v>
      </c>
      <c r="F189" s="10">
        <v>1</v>
      </c>
      <c r="G189" s="10"/>
      <c r="H189" s="3">
        <v>4</v>
      </c>
      <c r="I189" s="3">
        <v>8</v>
      </c>
      <c r="K189" s="3">
        <v>35</v>
      </c>
      <c r="L189" s="3" t="s">
        <v>792</v>
      </c>
      <c r="M189" s="3" t="s">
        <v>225</v>
      </c>
      <c r="V189" s="16">
        <f t="shared" si="33"/>
        <v>1.1111111111111112</v>
      </c>
      <c r="W189" s="16">
        <f t="shared" si="34"/>
        <v>1.6666666666666667</v>
      </c>
      <c r="X189" s="17" cm="1">
        <f t="array" ref="X189">$H189 *
IF(ISNUMBER(SEARCH("Rapid",$L189)),7/6,1) *
IF(OR(ISNUMBER(SEARCH("Beam",$L189)),ISNUMBER(SEARCH("Firestorm",$L189))),1, IF(ISNUMBER(SEARCH("Blast",$L189)),(4+$F189+(2-$F189)*0.5)/6*2,(4+$F189)/6)) *
IF(ISNUMBER(SEARCH("Fusion",$L189)), _xlfn.IFS(X$24-$I189 &lt;=1, 9/10, X$24-$I189 &lt;=10,(11-(X$24-$I189))/10, X$24-$I189 &gt;=11, 0),
_xlfn.IFS(X$24-$I189 &lt;=1, 5/6, X$24-$I189 &lt;=5, (7-(X$24-$I189))/6, AND(X$24-$I189 =6,NOT(_xlfn.IFNA(ISNUMBER(SEARCH("Rending",$L189)),FALSE))), (7-(X$24-$I189))/6, AND(X$24-$I189 &gt;=7,NOT(_xlfn.IFNA(ISNUMBER(SEARCH("Rending",$L189)),FALSE))), 0, X$24-$I189 =7, (7-(X$24-1-$I189))/6, X$24-$I189 =8, (7-(X$24-2-$I189))/6*2/3, X$24-$I189 =9, (7-(X$24-3-$I189))/6*1/3, TRUE, 0)) *
IF(ISNUMBER(SEARCH("Ordinance",$L189)),7/6,1) *
IF(OR(ISNUMBER(SEARCH("Melee",$L189)),ISNUMBER(SEARCH("Bypass",$L189))),1.5,1)</f>
        <v>2.7777777777777781</v>
      </c>
      <c r="Y189" s="17" cm="1">
        <f t="array" ref="Y189">$H189 *
IF(ISNUMBER(SEARCH("Rapid",$L189)),7/6,1) *
IF(OR(ISNUMBER(SEARCH("Beam",$L189)),ISNUMBER(SEARCH("Firestorm",$L189))),1, IF(ISNUMBER(SEARCH("Blast",$L189)),(4+$F189+(2-$F189)*0.5)/6*2,(4+$F189)/6)) *
IF(ISNUMBER(SEARCH("Fusion",$L189)), _xlfn.IFS(Y$24-$I189 &lt;=1, 9/10, Y$24-$I189 &lt;=10,(11-(Y$24-$I189))/10, Y$24-$I189 &gt;=11, 0),
_xlfn.IFS(Y$24-$I189 &lt;=1, 5/6, Y$24-$I189 &lt;=5, (7-(Y$24-$I189))/6, AND(Y$24-$I189 =6,NOT(_xlfn.IFNA(ISNUMBER(SEARCH("Rending",$L189)),FALSE))), (7-(Y$24-$I189))/6, AND(Y$24-$I189 &gt;=7,NOT(_xlfn.IFNA(ISNUMBER(SEARCH("Rending",$L189)),FALSE))), 0, Y$24-$I189 =7, (7-(Y$24-1-$I189))/6, Y$24-$I189 =8, (7-(Y$24-2-$I189))/6*2/3, Y$24-$I189 =9, (7-(Y$24-3-$I189))/6*1/3, TRUE, 0)) *
IF(ISNUMBER(SEARCH("Ordinance",$L189)),7/6,1) *
IF(OR(ISNUMBER(SEARCH("Melee",$L189)),ISNUMBER(SEARCH("Bypass",$L189))),1.5,1)</f>
        <v>2.7777777777777781</v>
      </c>
      <c r="Z189" s="17" cm="1">
        <f t="array" ref="Z189">$H189 *
IF(ISNUMBER(SEARCH("Rapid",$L189)),7/6,1) *
IF(OR(ISNUMBER(SEARCH("Beam",$L189)),ISNUMBER(SEARCH("Firestorm",$L189))),1, IF(ISNUMBER(SEARCH("Blast",$L189)),(4+$F189+(2-$F189)*0.5)/6*2,(4+$F189)/6)) *
IF(ISNUMBER(SEARCH("Fusion",$L189)), _xlfn.IFS(Z$24-$I189 &lt;=1, 9/10, Z$24-$I189 &lt;=10,(11-(Z$24-$I189))/10, Z$24-$I189 &gt;=11, 0),
_xlfn.IFS(Z$24-$I189 &lt;=1, 5/6, Z$24-$I189 &lt;=5, (7-(Z$24-$I189))/6, AND(Z$24-$I189 =6,NOT(_xlfn.IFNA(ISNUMBER(SEARCH("Rending",$L189)),FALSE))), (7-(Z$24-$I189))/6, AND(Z$24-$I189 &gt;=7,NOT(_xlfn.IFNA(ISNUMBER(SEARCH("Rending",$L189)),FALSE))), 0, Z$24-$I189 =7, (7-(Z$24-1-$I189))/6, Z$24-$I189 =8, (7-(Z$24-2-$I189))/6*2/3, Z$24-$I189 =9, (7-(Z$24-3-$I189))/6*1/3, TRUE, 0)) *
IF(ISNUMBER(SEARCH("Ordinance",$L189)),7/6,1) *
IF(OR(ISNUMBER(SEARCH("Melee",$L189)),ISNUMBER(SEARCH("Bypass",$L189))),1.5,1)</f>
        <v>2.2222222222222223</v>
      </c>
      <c r="AA189" s="17" cm="1">
        <f t="array" ref="AA189">$H189 *
IF(ISNUMBER(SEARCH("Rapid",$L189)),7/6,1) *
IF(OR(ISNUMBER(SEARCH("Beam",$L189)),ISNUMBER(SEARCH("Firestorm",$L189))),1, IF(ISNUMBER(SEARCH("Blast",$L189)),(4+$F189+(2-$F189)*0.5)/6*2,(4+$F189)/6)) *
IF(ISNUMBER(SEARCH("Fusion",$L189)), _xlfn.IFS(AA$24-$I189 &lt;=1, 9/10, AA$24-$I189 &lt;=10,(11-(AA$24-$I189))/10, AA$24-$I189 &gt;=11, 0),
_xlfn.IFS(AA$24-$I189 &lt;=1, 5/6, AA$24-$I189 &lt;=5, (7-(AA$24-$I189))/6, AND(AA$24-$I189 =6,NOT(_xlfn.IFNA(ISNUMBER(SEARCH("Rending",$L189)),FALSE))), (7-(AA$24-$I189))/6, AND(AA$24-$I189 &gt;=7,NOT(_xlfn.IFNA(ISNUMBER(SEARCH("Rending",$L189)),FALSE))), 0, AA$24-$I189 =7, (7-(AA$24-1-$I189))/6, AA$24-$I189 =8, (7-(AA$24-2-$I189))/6*2/3, AA$24-$I189 =9, (7-(AA$24-3-$I189))/6*1/3, TRUE, 0)) *
IF(ISNUMBER(SEARCH("Ordinance",$L189)),7/6,1) *
IF(OR(ISNUMBER(SEARCH("Melee",$L189)),ISNUMBER(SEARCH("Bypass",$L189))),1.5,1)</f>
        <v>1.6666666666666667</v>
      </c>
      <c r="AB189" s="17" cm="1">
        <f t="array" ref="AB189">$H189 *
IF(ISNUMBER(SEARCH("Rapid",$L189)),7/6,1) *
IF(OR(ISNUMBER(SEARCH("Beam",$L189)),ISNUMBER(SEARCH("Firestorm",$L189))),1, IF(ISNUMBER(SEARCH("Blast",$L189)),(4+$F189+(2-$F189)*0.5)/6*2,(4+$F189)/6)) *
IF(ISNUMBER(SEARCH("Fusion",$L189)), _xlfn.IFS(AB$24-$I189 &lt;=1, 9/10, AB$24-$I189 &lt;=10,(11-(AB$24-$I189))/10, AB$24-$I189 &gt;=11, 0),
_xlfn.IFS(AB$24-$I189 &lt;=1, 5/6, AB$24-$I189 &lt;=5, (7-(AB$24-$I189))/6, AND(AB$24-$I189 =6,NOT(_xlfn.IFNA(ISNUMBER(SEARCH("Rending",$L189)),FALSE))), (7-(AB$24-$I189))/6, AND(AB$24-$I189 &gt;=7,NOT(_xlfn.IFNA(ISNUMBER(SEARCH("Rending",$L189)),FALSE))), 0, AB$24-$I189 =7, (7-(AB$24-1-$I189))/6, AB$24-$I189 =8, (7-(AB$24-2-$I189))/6*2/3, AB$24-$I189 =9, (7-(AB$24-3-$I189))/6*1/3, TRUE, 0)) *
IF(ISNUMBER(SEARCH("Ordinance",$L189)),7/6,1) *
IF(OR(ISNUMBER(SEARCH("Melee",$L189)),ISNUMBER(SEARCH("Bypass",$L189))),1.5,1)</f>
        <v>1.1111111111111112</v>
      </c>
      <c r="AC189" s="17" cm="1">
        <f t="array" ref="AC189">$H189 *
IF(ISNUMBER(SEARCH("Rapid",$L189)),7/6,1) *
IF(OR(ISNUMBER(SEARCH("Beam",$L189)),ISNUMBER(SEARCH("Firestorm",$L189))),1, IF(ISNUMBER(SEARCH("Blast",$L189)),(4+$F189+(2-$F189)*0.5)/6*2,(4+$F189)/6)) *
IF(ISNUMBER(SEARCH("Fusion",$L189)), _xlfn.IFS(AC$24-$I189 &lt;=1, 9/10, AC$24-$I189 &lt;=10,(11-(AC$24-$I189))/10, AC$24-$I189 &gt;=11, 0),
_xlfn.IFS(AC$24-$I189 &lt;=1, 5/6, AC$24-$I189 &lt;=5, (7-(AC$24-$I189))/6, AND(AC$24-$I189 =6,NOT(_xlfn.IFNA(ISNUMBER(SEARCH("Rending",$L189)),FALSE))), (7-(AC$24-$I189))/6, AND(AC$24-$I189 &gt;=7,NOT(_xlfn.IFNA(ISNUMBER(SEARCH("Rending",$L189)),FALSE))), 0, AC$24-$I189 =7, (7-(AC$24-1-$I189))/6, AC$24-$I189 =8, (7-(AC$24-2-$I189))/6*2/3, AC$24-$I189 =9, (7-(AC$24-3-$I189))/6*1/3, TRUE, 0)) *
IF(ISNUMBER(SEARCH("Ordinance",$L189)),7/6,1) *
IF(OR(ISNUMBER(SEARCH("Melee",$L189)),ISNUMBER(SEARCH("Bypass",$L189))),1.5,1)</f>
        <v>0.55555555555555558</v>
      </c>
      <c r="AD189" s="17" cm="1">
        <f t="array" ref="AD189">$H189 *
IF(ISNUMBER(SEARCH("Rapid",$L189)),7/6,1) *
IF(OR(ISNUMBER(SEARCH("Beam",$L189)),ISNUMBER(SEARCH("Firestorm",$L189))),1, IF(ISNUMBER(SEARCH("Blast",$L189)),(4+$F189+(2-$F189)*0.5)/6*2,(4+$F189)/6)) *
IF(ISNUMBER(SEARCH("Fusion",$L189)), _xlfn.IFS(AD$24-$I189 &lt;=1, 9/10, AD$24-$I189 &lt;=10,(11-(AD$24-$I189))/10, AD$24-$I189 &gt;=11, 0),
_xlfn.IFS(AD$24-$I189 &lt;=1, 5/6, AD$24-$I189 &lt;=5, (7-(AD$24-$I189))/6, AND(AD$24-$I189 =6,NOT(_xlfn.IFNA(ISNUMBER(SEARCH("Rending",$L189)),FALSE))), (7-(AD$24-$I189))/6, AND(AD$24-$I189 &gt;=7,NOT(_xlfn.IFNA(ISNUMBER(SEARCH("Rending",$L189)),FALSE))), 0, AD$24-$I189 =7, (7-(AD$24-1-$I189))/6, AD$24-$I189 =8, (7-(AD$24-2-$I189))/6*2/3, AD$24-$I189 =9, (7-(AD$24-3-$I189))/6*1/3, TRUE, 0)) *
IF(ISNUMBER(SEARCH("Ordinance",$L189)),7/6,1) *
IF(OR(ISNUMBER(SEARCH("Melee",$L189)),ISNUMBER(SEARCH("Bypass",$L189))),1.5,1)</f>
        <v>0</v>
      </c>
      <c r="AE189" s="17" cm="1">
        <f t="array" ref="AE189">$H189 *
IF(ISNUMBER(SEARCH("Rapid",$L189)),7/6,1) *
IF(OR(ISNUMBER(SEARCH("Beam",$L189)),ISNUMBER(SEARCH("Firestorm",$L189))),1, IF(ISNUMBER(SEARCH("Blast",$L189)),(4+$F189+(2-$F189)*0.5)/6*2,(4+$F189)/6)) *
IF(ISNUMBER(SEARCH("Fusion",$L189)), _xlfn.IFS(AE$24-$I189 &lt;=1, 9/10, AE$24-$I189 &lt;=10,(11-(AE$24-$I189))/10, AE$24-$I189 &gt;=11, 0),
_xlfn.IFS(AE$24-$I189 &lt;=1, 5/6, AE$24-$I189 &lt;=5, (7-(AE$24-$I189))/6, AND(AE$24-$I189 =6,NOT(_xlfn.IFNA(ISNUMBER(SEARCH("Rending",$L189)),FALSE))), (7-(AE$24-$I189))/6, AND(AE$24-$I189 &gt;=7,NOT(_xlfn.IFNA(ISNUMBER(SEARCH("Rending",$L189)),FALSE))), 0, AE$24-$I189 =7, (7-(AE$24-1-$I189))/6, AE$24-$I189 =8, (7-(AE$24-2-$I189))/6*2/3, AE$24-$I189 =9, (7-(AE$24-3-$I189))/6*1/3, TRUE, 0)) *
IF(ISNUMBER(SEARCH("Ordinance",$L189)),7/6,1) *
IF(OR(ISNUMBER(SEARCH("Melee",$L189)),ISNUMBER(SEARCH("Bypass",$L189))),1.5,1)</f>
        <v>0</v>
      </c>
      <c r="AF189" s="17" cm="1">
        <f t="array" ref="AF189">$H189 *
IF(ISNUMBER(SEARCH("Rapid",$L189)),7/6,1) *
IF(OR(ISNUMBER(SEARCH("Beam",$L189)),ISNUMBER(SEARCH("Firestorm",$L189))),1, IF(ISNUMBER(SEARCH("Blast",$L189)),(4+$F189+(2-$F189)*0.5)/6*2,(4+$F189)/6)) *
IF(ISNUMBER(SEARCH("Fusion",$L189)), _xlfn.IFS(AF$24-$I189 &lt;=1, 9/10, AF$24-$I189 &lt;=10,(11-(AF$24-$I189))/10, AF$24-$I189 &gt;=11, 0),
_xlfn.IFS(AF$24-$I189 &lt;=1, 5/6, AF$24-$I189 &lt;=5, (7-(AF$24-$I189))/6, AND(AF$24-$I189 =6,NOT(_xlfn.IFNA(ISNUMBER(SEARCH("Rending",$L189)),FALSE))), (7-(AF$24-$I189))/6, AND(AF$24-$I189 &gt;=7,NOT(_xlfn.IFNA(ISNUMBER(SEARCH("Rending",$L189)),FALSE))), 0, AF$24-$I189 =7, (7-(AF$24-1-$I189))/6, AF$24-$I189 =8, (7-(AF$24-2-$I189))/6*2/3, AF$24-$I189 =9, (7-(AF$24-3-$I189))/6*1/3, TRUE, 0)) *
IF(ISNUMBER(SEARCH("Ordinance",$L189)),7/6,1) *
IF(OR(ISNUMBER(SEARCH("Melee",$L189)),ISNUMBER(SEARCH("Bypass",$L189))),1.5,1)</f>
        <v>0</v>
      </c>
      <c r="AG189" s="16">
        <f t="shared" si="35"/>
        <v>0.88888888888888884</v>
      </c>
      <c r="AH189" s="16">
        <f t="shared" si="36"/>
        <v>1.3333333333333333</v>
      </c>
      <c r="AI189" s="17" cm="1">
        <f t="array" ref="AI189">$H189 *
IF(ISNUMBER(SEARCH("Rapid",$L189)),7/6,1) *
IF(OR(ISNUMBER(SEARCH("Beam",$L189)),ISNUMBER(SEARCH("Firestorm",$L189))),1, IF(ISNUMBER(SEARCH("Blast",$L189)),(4+$G189+(2-$G189)*0.5)/6*2,(4+$G189)/6)) *
_xlfn.IFS(AI$24-$I189 &lt;=1, 5/6, AI$24-$I189 &lt;=5, (7-(AI$24-$I189))/6, AND(AI$24-$I189 =6,NOT(_xlfn.IFNA(ISNUMBER(SEARCH("Rending",$L189)),FALSE))), (7-(AI$24-$I189))/6, AND(AI$24-$I189 &gt;=7,NOT(_xlfn.IFNA(ISNUMBER(SEARCH("Rending",$L189)),FALSE))), 0, AI$24-$I189 =7, (7-(AI$24-1-$I189))/6, AI$24-$I189 =8, (7-(AI$24-2-$I189))/6*2/3, AI$24-$I189 =9, (7-(AI$24-3-$I189))/6*1/3, TRUE, 0) *
IF(ISNUMBER(SEARCH("Ordinance",$L189)),7/6,1) *
IF(OR(ISNUMBER(SEARCH("Melee",$L189)),ISNUMBER(SEARCH("Bypass",$L189))),1.5,1)</f>
        <v>2.2222222222222223</v>
      </c>
      <c r="AJ189" s="17" cm="1">
        <f t="array" ref="AJ189">$H189 *
IF(ISNUMBER(SEARCH("Rapid",$L189)),7/6,1) *
IF(OR(ISNUMBER(SEARCH("Beam",$L189)),ISNUMBER(SEARCH("Firestorm",$L189))),1, IF(ISNUMBER(SEARCH("Blast",$L189)),(4+$G189+(2-$G189)*0.5)/6*2,(4+$G189)/6)) *
_xlfn.IFS(AJ$24-$I189 &lt;=1, 5/6, AJ$24-$I189 &lt;=5, (7-(AJ$24-$I189))/6, AND(AJ$24-$I189 =6,NOT(_xlfn.IFNA(ISNUMBER(SEARCH("Rending",$L189)),FALSE))), (7-(AJ$24-$I189))/6, AND(AJ$24-$I189 &gt;=7,NOT(_xlfn.IFNA(ISNUMBER(SEARCH("Rending",$L189)),FALSE))), 0, AJ$24-$I189 =7, (7-(AJ$24-1-$I189))/6, AJ$24-$I189 =8, (7-(AJ$24-2-$I189))/6*2/3, AJ$24-$I189 =9, (7-(AJ$24-3-$I189))/6*1/3, TRUE, 0) *
IF(ISNUMBER(SEARCH("Ordinance",$L189)),7/6,1) *
IF(OR(ISNUMBER(SEARCH("Melee",$L189)),ISNUMBER(SEARCH("Bypass",$L189))),1.5,1)</f>
        <v>2.2222222222222223</v>
      </c>
      <c r="AK189" s="17" cm="1">
        <f t="array" ref="AK189">$H189 *
IF(ISNUMBER(SEARCH("Rapid",$L189)),7/6,1) *
IF(OR(ISNUMBER(SEARCH("Beam",$L189)),ISNUMBER(SEARCH("Firestorm",$L189))),1, IF(ISNUMBER(SEARCH("Blast",$L189)),(4+$G189+(2-$G189)*0.5)/6*2,(4+$G189)/6)) *
_xlfn.IFS(AK$24-$I189 &lt;=1, 5/6, AK$24-$I189 &lt;=5, (7-(AK$24-$I189))/6, AND(AK$24-$I189 =6,NOT(_xlfn.IFNA(ISNUMBER(SEARCH("Rending",$L189)),FALSE))), (7-(AK$24-$I189))/6, AND(AK$24-$I189 &gt;=7,NOT(_xlfn.IFNA(ISNUMBER(SEARCH("Rending",$L189)),FALSE))), 0, AK$24-$I189 =7, (7-(AK$24-1-$I189))/6, AK$24-$I189 =8, (7-(AK$24-2-$I189))/6*2/3, AK$24-$I189 =9, (7-(AK$24-3-$I189))/6*1/3, TRUE, 0) *
IF(ISNUMBER(SEARCH("Ordinance",$L189)),7/6,1) *
IF(OR(ISNUMBER(SEARCH("Melee",$L189)),ISNUMBER(SEARCH("Bypass",$L189))),1.5,1)</f>
        <v>1.7777777777777777</v>
      </c>
      <c r="AL189" s="17" cm="1">
        <f t="array" ref="AL189">$H189 *
IF(ISNUMBER(SEARCH("Rapid",$L189)),7/6,1) *
IF(OR(ISNUMBER(SEARCH("Beam",$L189)),ISNUMBER(SEARCH("Firestorm",$L189))),1, IF(ISNUMBER(SEARCH("Blast",$L189)),(4+$G189+(2-$G189)*0.5)/6*2,(4+$G189)/6)) *
_xlfn.IFS(AL$24-$I189 &lt;=1, 5/6, AL$24-$I189 &lt;=5, (7-(AL$24-$I189))/6, AND(AL$24-$I189 =6,NOT(_xlfn.IFNA(ISNUMBER(SEARCH("Rending",$L189)),FALSE))), (7-(AL$24-$I189))/6, AND(AL$24-$I189 &gt;=7,NOT(_xlfn.IFNA(ISNUMBER(SEARCH("Rending",$L189)),FALSE))), 0, AL$24-$I189 =7, (7-(AL$24-1-$I189))/6, AL$24-$I189 =8, (7-(AL$24-2-$I189))/6*2/3, AL$24-$I189 =9, (7-(AL$24-3-$I189))/6*1/3, TRUE, 0) *
IF(ISNUMBER(SEARCH("Ordinance",$L189)),7/6,1) *
IF(OR(ISNUMBER(SEARCH("Melee",$L189)),ISNUMBER(SEARCH("Bypass",$L189))),1.5,1)</f>
        <v>1.3333333333333333</v>
      </c>
      <c r="AM189" s="17" cm="1">
        <f t="array" ref="AM189">$H189 *
IF(ISNUMBER(SEARCH("Rapid",$L189)),7/6,1) *
IF(OR(ISNUMBER(SEARCH("Beam",$L189)),ISNUMBER(SEARCH("Firestorm",$L189))),1, IF(ISNUMBER(SEARCH("Blast",$L189)),(4+$G189+(2-$G189)*0.5)/6*2,(4+$G189)/6)) *
_xlfn.IFS(AM$24-$I189 &lt;=1, 5/6, AM$24-$I189 &lt;=5, (7-(AM$24-$I189))/6, AND(AM$24-$I189 =6,NOT(_xlfn.IFNA(ISNUMBER(SEARCH("Rending",$L189)),FALSE))), (7-(AM$24-$I189))/6, AND(AM$24-$I189 &gt;=7,NOT(_xlfn.IFNA(ISNUMBER(SEARCH("Rending",$L189)),FALSE))), 0, AM$24-$I189 =7, (7-(AM$24-1-$I189))/6, AM$24-$I189 =8, (7-(AM$24-2-$I189))/6*2/3, AM$24-$I189 =9, (7-(AM$24-3-$I189))/6*1/3, TRUE, 0) *
IF(ISNUMBER(SEARCH("Ordinance",$L189)),7/6,1) *
IF(OR(ISNUMBER(SEARCH("Melee",$L189)),ISNUMBER(SEARCH("Bypass",$L189))),1.5,1)</f>
        <v>0.88888888888888884</v>
      </c>
      <c r="AN189" s="17" cm="1">
        <f t="array" ref="AN189">$H189 *
IF(ISNUMBER(SEARCH("Rapid",$L189)),7/6,1) *
IF(OR(ISNUMBER(SEARCH("Beam",$L189)),ISNUMBER(SEARCH("Firestorm",$L189))),1, IF(ISNUMBER(SEARCH("Blast",$L189)),(4+$G189+(2-$G189)*0.5)/6*2,(4+$G189)/6)) *
_xlfn.IFS(AN$24-$I189 &lt;=1, 5/6, AN$24-$I189 &lt;=5, (7-(AN$24-$I189))/6, AND(AN$24-$I189 =6,NOT(_xlfn.IFNA(ISNUMBER(SEARCH("Rending",$L189)),FALSE))), (7-(AN$24-$I189))/6, AND(AN$24-$I189 &gt;=7,NOT(_xlfn.IFNA(ISNUMBER(SEARCH("Rending",$L189)),FALSE))), 0, AN$24-$I189 =7, (7-(AN$24-1-$I189))/6, AN$24-$I189 =8, (7-(AN$24-2-$I189))/6*2/3, AN$24-$I189 =9, (7-(AN$24-3-$I189))/6*1/3, TRUE, 0) *
IF(ISNUMBER(SEARCH("Ordinance",$L189)),7/6,1) *
IF(OR(ISNUMBER(SEARCH("Melee",$L189)),ISNUMBER(SEARCH("Bypass",$L189))),1.5,1)</f>
        <v>0.44444444444444442</v>
      </c>
      <c r="AO189" s="17" cm="1">
        <f t="array" ref="AO189">$H189 *
IF(ISNUMBER(SEARCH("Rapid",$L189)),7/6,1) *
IF(OR(ISNUMBER(SEARCH("Beam",$L189)),ISNUMBER(SEARCH("Firestorm",$L189))),1, IF(ISNUMBER(SEARCH("Blast",$L189)),(4+$G189+(2-$G189)*0.5)/6*2,(4+$G189)/6)) *
_xlfn.IFS(AO$24-$I189 &lt;=1, 5/6, AO$24-$I189 &lt;=5, (7-(AO$24-$I189))/6, AND(AO$24-$I189 =6,NOT(_xlfn.IFNA(ISNUMBER(SEARCH("Rending",$L189)),FALSE))), (7-(AO$24-$I189))/6, AND(AO$24-$I189 &gt;=7,NOT(_xlfn.IFNA(ISNUMBER(SEARCH("Rending",$L189)),FALSE))), 0, AO$24-$I189 =7, (7-(AO$24-1-$I189))/6, AO$24-$I189 =8, (7-(AO$24-2-$I189))/6*2/3, AO$24-$I189 =9, (7-(AO$24-3-$I189))/6*1/3, TRUE, 0) *
IF(ISNUMBER(SEARCH("Ordinance",$L189)),7/6,1) *
IF(OR(ISNUMBER(SEARCH("Melee",$L189)),ISNUMBER(SEARCH("Bypass",$L189))),1.5,1)</f>
        <v>0</v>
      </c>
      <c r="AP189" s="17" cm="1">
        <f t="array" ref="AP189">$H189 *
IF(ISNUMBER(SEARCH("Rapid",$L189)),7/6,1) *
IF(OR(ISNUMBER(SEARCH("Beam",$L189)),ISNUMBER(SEARCH("Firestorm",$L189))),1, IF(ISNUMBER(SEARCH("Blast",$L189)),(4+$G189+(2-$G189)*0.5)/6*2,(4+$G189)/6)) *
_xlfn.IFS(AP$24-$I189 &lt;=1, 5/6, AP$24-$I189 &lt;=5, (7-(AP$24-$I189))/6, AND(AP$24-$I189 =6,NOT(_xlfn.IFNA(ISNUMBER(SEARCH("Rending",$L189)),FALSE))), (7-(AP$24-$I189))/6, AND(AP$24-$I189 &gt;=7,NOT(_xlfn.IFNA(ISNUMBER(SEARCH("Rending",$L189)),FALSE))), 0, AP$24-$I189 =7, (7-(AP$24-1-$I189))/6, AP$24-$I189 =8, (7-(AP$24-2-$I189))/6*2/3, AP$24-$I189 =9, (7-(AP$24-3-$I189))/6*1/3, TRUE, 0) *
IF(ISNUMBER(SEARCH("Ordinance",$L189)),7/6,1) *
IF(OR(ISNUMBER(SEARCH("Melee",$L189)),ISNUMBER(SEARCH("Bypass",$L189))),1.5,1)</f>
        <v>0</v>
      </c>
      <c r="AQ189" s="17" cm="1">
        <f t="array" ref="AQ189">$H189 *
IF(ISNUMBER(SEARCH("Rapid",$L189)),7/6,1) *
IF(OR(ISNUMBER(SEARCH("Beam",$L189)),ISNUMBER(SEARCH("Firestorm",$L189))),1, IF(ISNUMBER(SEARCH("Blast",$L189)),(4+$G189+(2-$G189)*0.5)/6*2,(4+$G189)/6)) *
_xlfn.IFS(AQ$24-$I189 &lt;=1, 5/6, AQ$24-$I189 &lt;=5, (7-(AQ$24-$I189))/6, AND(AQ$24-$I189 =6,NOT(_xlfn.IFNA(ISNUMBER(SEARCH("Rending",$L189)),FALSE))), (7-(AQ$24-$I189))/6, AND(AQ$24-$I189 &gt;=7,NOT(_xlfn.IFNA(ISNUMBER(SEARCH("Rending",$L189)),FALSE))), 0, AQ$24-$I189 =7, (7-(AQ$24-1-$I189))/6, AQ$24-$I189 =8, (7-(AQ$24-2-$I189))/6*2/3, AQ$24-$I189 =9, (7-(AQ$24-3-$I189))/6*1/3, TRUE, 0) *
IF(ISNUMBER(SEARCH("Ordinance",$L189)),7/6,1) *
IF(OR(ISNUMBER(SEARCH("Melee",$L189)),ISNUMBER(SEARCH("Bypass",$L189))),1.5,1)</f>
        <v>0</v>
      </c>
      <c r="AS189" s="16">
        <f t="shared" ref="AS189:AT191" si="47">IF($E189=1,AG189*3,IF($E189=2,2*AG189,1.1*AG189))/3</f>
        <v>0.59259259259259256</v>
      </c>
      <c r="AT189" s="16">
        <f t="shared" si="47"/>
        <v>0.88888888888888884</v>
      </c>
      <c r="AU189" s="16">
        <f>IF(D189+E189=3,
 IF(E189=3, 2.5*AI189,
  IF(E189=2, 1.8*AI189+0.7*X189,
   IF(E189=1, 0.95*AI189+1.55*X189,
    2.5*X189))),
 IF(D189+E189=2,
  IF(E189=2, 1.55*AI189,
   IF(E189 =1, 0.85*AI189+0.7*X189,
    1.55*X189)),
  IF(E189=1, 0.95*AI189,
   0.7*X189))
)/3</f>
        <v>1.1481481481481481</v>
      </c>
      <c r="AV189" s="2">
        <v>10</v>
      </c>
    </row>
    <row r="190" spans="1:48" x14ac:dyDescent="0.3">
      <c r="A190" t="s">
        <v>791</v>
      </c>
      <c r="B190" s="3">
        <v>12</v>
      </c>
      <c r="C190" s="3">
        <v>36</v>
      </c>
      <c r="E190" s="3">
        <v>3</v>
      </c>
      <c r="F190" s="10"/>
      <c r="G190" s="10"/>
      <c r="H190" s="3">
        <v>4</v>
      </c>
      <c r="I190" s="3">
        <v>9</v>
      </c>
      <c r="K190" s="3">
        <v>50</v>
      </c>
      <c r="L190" s="3" t="s">
        <v>792</v>
      </c>
      <c r="M190" s="3" t="s">
        <v>225</v>
      </c>
      <c r="V190" s="16">
        <f t="shared" si="33"/>
        <v>0.88888888888888884</v>
      </c>
      <c r="W190" s="16">
        <f t="shared" si="34"/>
        <v>1.3333333333333333</v>
      </c>
      <c r="X190" s="17" cm="1">
        <f t="array" ref="X190">$H190 *
IF(ISNUMBER(SEARCH("Rapid",$L190)),7/6,1) *
IF(OR(ISNUMBER(SEARCH("Beam",$L190)),ISNUMBER(SEARCH("Firestorm",$L190))),1, IF(ISNUMBER(SEARCH("Blast",$L190)),(4+$F190+(2-$F190)*0.5)/6*2,(4+$F190)/6)) *
IF(ISNUMBER(SEARCH("Fusion",$L190)), _xlfn.IFS(X$24-$I190 &lt;=1, 9/10, X$24-$I190 &lt;=10,(11-(X$24-$I190))/10, X$24-$I190 &gt;=11, 0),
_xlfn.IFS(X$24-$I190 &lt;=1, 5/6, X$24-$I190 &lt;=5, (7-(X$24-$I190))/6, AND(X$24-$I190 =6,NOT(_xlfn.IFNA(ISNUMBER(SEARCH("Rending",$L190)),FALSE))), (7-(X$24-$I190))/6, AND(X$24-$I190 &gt;=7,NOT(_xlfn.IFNA(ISNUMBER(SEARCH("Rending",$L190)),FALSE))), 0, X$24-$I190 =7, (7-(X$24-1-$I190))/6, X$24-$I190 =8, (7-(X$24-2-$I190))/6*2/3, X$24-$I190 =9, (7-(X$24-3-$I190))/6*1/3, TRUE, 0)) *
IF(ISNUMBER(SEARCH("Ordinance",$L190)),7/6,1) *
IF(OR(ISNUMBER(SEARCH("Melee",$L190)),ISNUMBER(SEARCH("Bypass",$L190))),1.5,1)</f>
        <v>2.2222222222222223</v>
      </c>
      <c r="Y190" s="17" cm="1">
        <f t="array" ref="Y190">$H190 *
IF(ISNUMBER(SEARCH("Rapid",$L190)),7/6,1) *
IF(OR(ISNUMBER(SEARCH("Beam",$L190)),ISNUMBER(SEARCH("Firestorm",$L190))),1, IF(ISNUMBER(SEARCH("Blast",$L190)),(4+$F190+(2-$F190)*0.5)/6*2,(4+$F190)/6)) *
IF(ISNUMBER(SEARCH("Fusion",$L190)), _xlfn.IFS(Y$24-$I190 &lt;=1, 9/10, Y$24-$I190 &lt;=10,(11-(Y$24-$I190))/10, Y$24-$I190 &gt;=11, 0),
_xlfn.IFS(Y$24-$I190 &lt;=1, 5/6, Y$24-$I190 &lt;=5, (7-(Y$24-$I190))/6, AND(Y$24-$I190 =6,NOT(_xlfn.IFNA(ISNUMBER(SEARCH("Rending",$L190)),FALSE))), (7-(Y$24-$I190))/6, AND(Y$24-$I190 &gt;=7,NOT(_xlfn.IFNA(ISNUMBER(SEARCH("Rending",$L190)),FALSE))), 0, Y$24-$I190 =7, (7-(Y$24-1-$I190))/6, Y$24-$I190 =8, (7-(Y$24-2-$I190))/6*2/3, Y$24-$I190 =9, (7-(Y$24-3-$I190))/6*1/3, TRUE, 0)) *
IF(ISNUMBER(SEARCH("Ordinance",$L190)),7/6,1) *
IF(OR(ISNUMBER(SEARCH("Melee",$L190)),ISNUMBER(SEARCH("Bypass",$L190))),1.5,1)</f>
        <v>2.2222222222222223</v>
      </c>
      <c r="Z190" s="17" cm="1">
        <f t="array" ref="Z190">$H190 *
IF(ISNUMBER(SEARCH("Rapid",$L190)),7/6,1) *
IF(OR(ISNUMBER(SEARCH("Beam",$L190)),ISNUMBER(SEARCH("Firestorm",$L190))),1, IF(ISNUMBER(SEARCH("Blast",$L190)),(4+$F190+(2-$F190)*0.5)/6*2,(4+$F190)/6)) *
IF(ISNUMBER(SEARCH("Fusion",$L190)), _xlfn.IFS(Z$24-$I190 &lt;=1, 9/10, Z$24-$I190 &lt;=10,(11-(Z$24-$I190))/10, Z$24-$I190 &gt;=11, 0),
_xlfn.IFS(Z$24-$I190 &lt;=1, 5/6, Z$24-$I190 &lt;=5, (7-(Z$24-$I190))/6, AND(Z$24-$I190 =6,NOT(_xlfn.IFNA(ISNUMBER(SEARCH("Rending",$L190)),FALSE))), (7-(Z$24-$I190))/6, AND(Z$24-$I190 &gt;=7,NOT(_xlfn.IFNA(ISNUMBER(SEARCH("Rending",$L190)),FALSE))), 0, Z$24-$I190 =7, (7-(Z$24-1-$I190))/6, Z$24-$I190 =8, (7-(Z$24-2-$I190))/6*2/3, Z$24-$I190 =9, (7-(Z$24-3-$I190))/6*1/3, TRUE, 0)) *
IF(ISNUMBER(SEARCH("Ordinance",$L190)),7/6,1) *
IF(OR(ISNUMBER(SEARCH("Melee",$L190)),ISNUMBER(SEARCH("Bypass",$L190))),1.5,1)</f>
        <v>2.2222222222222223</v>
      </c>
      <c r="AA190" s="17" cm="1">
        <f t="array" ref="AA190">$H190 *
IF(ISNUMBER(SEARCH("Rapid",$L190)),7/6,1) *
IF(OR(ISNUMBER(SEARCH("Beam",$L190)),ISNUMBER(SEARCH("Firestorm",$L190))),1, IF(ISNUMBER(SEARCH("Blast",$L190)),(4+$F190+(2-$F190)*0.5)/6*2,(4+$F190)/6)) *
IF(ISNUMBER(SEARCH("Fusion",$L190)), _xlfn.IFS(AA$24-$I190 &lt;=1, 9/10, AA$24-$I190 &lt;=10,(11-(AA$24-$I190))/10, AA$24-$I190 &gt;=11, 0),
_xlfn.IFS(AA$24-$I190 &lt;=1, 5/6, AA$24-$I190 &lt;=5, (7-(AA$24-$I190))/6, AND(AA$24-$I190 =6,NOT(_xlfn.IFNA(ISNUMBER(SEARCH("Rending",$L190)),FALSE))), (7-(AA$24-$I190))/6, AND(AA$24-$I190 &gt;=7,NOT(_xlfn.IFNA(ISNUMBER(SEARCH("Rending",$L190)),FALSE))), 0, AA$24-$I190 =7, (7-(AA$24-1-$I190))/6, AA$24-$I190 =8, (7-(AA$24-2-$I190))/6*2/3, AA$24-$I190 =9, (7-(AA$24-3-$I190))/6*1/3, TRUE, 0)) *
IF(ISNUMBER(SEARCH("Ordinance",$L190)),7/6,1) *
IF(OR(ISNUMBER(SEARCH("Melee",$L190)),ISNUMBER(SEARCH("Bypass",$L190))),1.5,1)</f>
        <v>1.7777777777777777</v>
      </c>
      <c r="AB190" s="17" cm="1">
        <f t="array" ref="AB190">$H190 *
IF(ISNUMBER(SEARCH("Rapid",$L190)),7/6,1) *
IF(OR(ISNUMBER(SEARCH("Beam",$L190)),ISNUMBER(SEARCH("Firestorm",$L190))),1, IF(ISNUMBER(SEARCH("Blast",$L190)),(4+$F190+(2-$F190)*0.5)/6*2,(4+$F190)/6)) *
IF(ISNUMBER(SEARCH("Fusion",$L190)), _xlfn.IFS(AB$24-$I190 &lt;=1, 9/10, AB$24-$I190 &lt;=10,(11-(AB$24-$I190))/10, AB$24-$I190 &gt;=11, 0),
_xlfn.IFS(AB$24-$I190 &lt;=1, 5/6, AB$24-$I190 &lt;=5, (7-(AB$24-$I190))/6, AND(AB$24-$I190 =6,NOT(_xlfn.IFNA(ISNUMBER(SEARCH("Rending",$L190)),FALSE))), (7-(AB$24-$I190))/6, AND(AB$24-$I190 &gt;=7,NOT(_xlfn.IFNA(ISNUMBER(SEARCH("Rending",$L190)),FALSE))), 0, AB$24-$I190 =7, (7-(AB$24-1-$I190))/6, AB$24-$I190 =8, (7-(AB$24-2-$I190))/6*2/3, AB$24-$I190 =9, (7-(AB$24-3-$I190))/6*1/3, TRUE, 0)) *
IF(ISNUMBER(SEARCH("Ordinance",$L190)),7/6,1) *
IF(OR(ISNUMBER(SEARCH("Melee",$L190)),ISNUMBER(SEARCH("Bypass",$L190))),1.5,1)</f>
        <v>1.3333333333333333</v>
      </c>
      <c r="AC190" s="17" cm="1">
        <f t="array" ref="AC190">$H190 *
IF(ISNUMBER(SEARCH("Rapid",$L190)),7/6,1) *
IF(OR(ISNUMBER(SEARCH("Beam",$L190)),ISNUMBER(SEARCH("Firestorm",$L190))),1, IF(ISNUMBER(SEARCH("Blast",$L190)),(4+$F190+(2-$F190)*0.5)/6*2,(4+$F190)/6)) *
IF(ISNUMBER(SEARCH("Fusion",$L190)), _xlfn.IFS(AC$24-$I190 &lt;=1, 9/10, AC$24-$I190 &lt;=10,(11-(AC$24-$I190))/10, AC$24-$I190 &gt;=11, 0),
_xlfn.IFS(AC$24-$I190 &lt;=1, 5/6, AC$24-$I190 &lt;=5, (7-(AC$24-$I190))/6, AND(AC$24-$I190 =6,NOT(_xlfn.IFNA(ISNUMBER(SEARCH("Rending",$L190)),FALSE))), (7-(AC$24-$I190))/6, AND(AC$24-$I190 &gt;=7,NOT(_xlfn.IFNA(ISNUMBER(SEARCH("Rending",$L190)),FALSE))), 0, AC$24-$I190 =7, (7-(AC$24-1-$I190))/6, AC$24-$I190 =8, (7-(AC$24-2-$I190))/6*2/3, AC$24-$I190 =9, (7-(AC$24-3-$I190))/6*1/3, TRUE, 0)) *
IF(ISNUMBER(SEARCH("Ordinance",$L190)),7/6,1) *
IF(OR(ISNUMBER(SEARCH("Melee",$L190)),ISNUMBER(SEARCH("Bypass",$L190))),1.5,1)</f>
        <v>0.88888888888888884</v>
      </c>
      <c r="AD190" s="17" cm="1">
        <f t="array" ref="AD190">$H190 *
IF(ISNUMBER(SEARCH("Rapid",$L190)),7/6,1) *
IF(OR(ISNUMBER(SEARCH("Beam",$L190)),ISNUMBER(SEARCH("Firestorm",$L190))),1, IF(ISNUMBER(SEARCH("Blast",$L190)),(4+$F190+(2-$F190)*0.5)/6*2,(4+$F190)/6)) *
IF(ISNUMBER(SEARCH("Fusion",$L190)), _xlfn.IFS(AD$24-$I190 &lt;=1, 9/10, AD$24-$I190 &lt;=10,(11-(AD$24-$I190))/10, AD$24-$I190 &gt;=11, 0),
_xlfn.IFS(AD$24-$I190 &lt;=1, 5/6, AD$24-$I190 &lt;=5, (7-(AD$24-$I190))/6, AND(AD$24-$I190 =6,NOT(_xlfn.IFNA(ISNUMBER(SEARCH("Rending",$L190)),FALSE))), (7-(AD$24-$I190))/6, AND(AD$24-$I190 &gt;=7,NOT(_xlfn.IFNA(ISNUMBER(SEARCH("Rending",$L190)),FALSE))), 0, AD$24-$I190 =7, (7-(AD$24-1-$I190))/6, AD$24-$I190 =8, (7-(AD$24-2-$I190))/6*2/3, AD$24-$I190 =9, (7-(AD$24-3-$I190))/6*1/3, TRUE, 0)) *
IF(ISNUMBER(SEARCH("Ordinance",$L190)),7/6,1) *
IF(OR(ISNUMBER(SEARCH("Melee",$L190)),ISNUMBER(SEARCH("Bypass",$L190))),1.5,1)</f>
        <v>0.44444444444444442</v>
      </c>
      <c r="AE190" s="17" cm="1">
        <f t="array" ref="AE190">$H190 *
IF(ISNUMBER(SEARCH("Rapid",$L190)),7/6,1) *
IF(OR(ISNUMBER(SEARCH("Beam",$L190)),ISNUMBER(SEARCH("Firestorm",$L190))),1, IF(ISNUMBER(SEARCH("Blast",$L190)),(4+$F190+(2-$F190)*0.5)/6*2,(4+$F190)/6)) *
IF(ISNUMBER(SEARCH("Fusion",$L190)), _xlfn.IFS(AE$24-$I190 &lt;=1, 9/10, AE$24-$I190 &lt;=10,(11-(AE$24-$I190))/10, AE$24-$I190 &gt;=11, 0),
_xlfn.IFS(AE$24-$I190 &lt;=1, 5/6, AE$24-$I190 &lt;=5, (7-(AE$24-$I190))/6, AND(AE$24-$I190 =6,NOT(_xlfn.IFNA(ISNUMBER(SEARCH("Rending",$L190)),FALSE))), (7-(AE$24-$I190))/6, AND(AE$24-$I190 &gt;=7,NOT(_xlfn.IFNA(ISNUMBER(SEARCH("Rending",$L190)),FALSE))), 0, AE$24-$I190 =7, (7-(AE$24-1-$I190))/6, AE$24-$I190 =8, (7-(AE$24-2-$I190))/6*2/3, AE$24-$I190 =9, (7-(AE$24-3-$I190))/6*1/3, TRUE, 0)) *
IF(ISNUMBER(SEARCH("Ordinance",$L190)),7/6,1) *
IF(OR(ISNUMBER(SEARCH("Melee",$L190)),ISNUMBER(SEARCH("Bypass",$L190))),1.5,1)</f>
        <v>0</v>
      </c>
      <c r="AF190" s="17" cm="1">
        <f t="array" ref="AF190">$H190 *
IF(ISNUMBER(SEARCH("Rapid",$L190)),7/6,1) *
IF(OR(ISNUMBER(SEARCH("Beam",$L190)),ISNUMBER(SEARCH("Firestorm",$L190))),1, IF(ISNUMBER(SEARCH("Blast",$L190)),(4+$F190+(2-$F190)*0.5)/6*2,(4+$F190)/6)) *
IF(ISNUMBER(SEARCH("Fusion",$L190)), _xlfn.IFS(AF$24-$I190 &lt;=1, 9/10, AF$24-$I190 &lt;=10,(11-(AF$24-$I190))/10, AF$24-$I190 &gt;=11, 0),
_xlfn.IFS(AF$24-$I190 &lt;=1, 5/6, AF$24-$I190 &lt;=5, (7-(AF$24-$I190))/6, AND(AF$24-$I190 =6,NOT(_xlfn.IFNA(ISNUMBER(SEARCH("Rending",$L190)),FALSE))), (7-(AF$24-$I190))/6, AND(AF$24-$I190 &gt;=7,NOT(_xlfn.IFNA(ISNUMBER(SEARCH("Rending",$L190)),FALSE))), 0, AF$24-$I190 =7, (7-(AF$24-1-$I190))/6, AF$24-$I190 =8, (7-(AF$24-2-$I190))/6*2/3, AF$24-$I190 =9, (7-(AF$24-3-$I190))/6*1/3, TRUE, 0)) *
IF(ISNUMBER(SEARCH("Ordinance",$L190)),7/6,1) *
IF(OR(ISNUMBER(SEARCH("Melee",$L190)),ISNUMBER(SEARCH("Bypass",$L190))),1.5,1)</f>
        <v>0</v>
      </c>
      <c r="AG190" s="16">
        <f t="shared" si="35"/>
        <v>0.88888888888888884</v>
      </c>
      <c r="AH190" s="16">
        <f t="shared" si="36"/>
        <v>1.3333333333333333</v>
      </c>
      <c r="AI190" s="17" cm="1">
        <f t="array" ref="AI190">$H190 *
IF(ISNUMBER(SEARCH("Rapid",$L190)),7/6,1) *
IF(OR(ISNUMBER(SEARCH("Beam",$L190)),ISNUMBER(SEARCH("Firestorm",$L190))),1, IF(ISNUMBER(SEARCH("Blast",$L190)),(4+$G190+(2-$G190)*0.5)/6*2,(4+$G190)/6)) *
_xlfn.IFS(AI$24-$I190 &lt;=1, 5/6, AI$24-$I190 &lt;=5, (7-(AI$24-$I190))/6, AND(AI$24-$I190 =6,NOT(_xlfn.IFNA(ISNUMBER(SEARCH("Rending",$L190)),FALSE))), (7-(AI$24-$I190))/6, AND(AI$24-$I190 &gt;=7,NOT(_xlfn.IFNA(ISNUMBER(SEARCH("Rending",$L190)),FALSE))), 0, AI$24-$I190 =7, (7-(AI$24-1-$I190))/6, AI$24-$I190 =8, (7-(AI$24-2-$I190))/6*2/3, AI$24-$I190 =9, (7-(AI$24-3-$I190))/6*1/3, TRUE, 0) *
IF(ISNUMBER(SEARCH("Ordinance",$L190)),7/6,1) *
IF(OR(ISNUMBER(SEARCH("Melee",$L190)),ISNUMBER(SEARCH("Bypass",$L190))),1.5,1)</f>
        <v>2.2222222222222223</v>
      </c>
      <c r="AJ190" s="17" cm="1">
        <f t="array" ref="AJ190">$H190 *
IF(ISNUMBER(SEARCH("Rapid",$L190)),7/6,1) *
IF(OR(ISNUMBER(SEARCH("Beam",$L190)),ISNUMBER(SEARCH("Firestorm",$L190))),1, IF(ISNUMBER(SEARCH("Blast",$L190)),(4+$G190+(2-$G190)*0.5)/6*2,(4+$G190)/6)) *
_xlfn.IFS(AJ$24-$I190 &lt;=1, 5/6, AJ$24-$I190 &lt;=5, (7-(AJ$24-$I190))/6, AND(AJ$24-$I190 =6,NOT(_xlfn.IFNA(ISNUMBER(SEARCH("Rending",$L190)),FALSE))), (7-(AJ$24-$I190))/6, AND(AJ$24-$I190 &gt;=7,NOT(_xlfn.IFNA(ISNUMBER(SEARCH("Rending",$L190)),FALSE))), 0, AJ$24-$I190 =7, (7-(AJ$24-1-$I190))/6, AJ$24-$I190 =8, (7-(AJ$24-2-$I190))/6*2/3, AJ$24-$I190 =9, (7-(AJ$24-3-$I190))/6*1/3, TRUE, 0) *
IF(ISNUMBER(SEARCH("Ordinance",$L190)),7/6,1) *
IF(OR(ISNUMBER(SEARCH("Melee",$L190)),ISNUMBER(SEARCH("Bypass",$L190))),1.5,1)</f>
        <v>2.2222222222222223</v>
      </c>
      <c r="AK190" s="17" cm="1">
        <f t="array" ref="AK190">$H190 *
IF(ISNUMBER(SEARCH("Rapid",$L190)),7/6,1) *
IF(OR(ISNUMBER(SEARCH("Beam",$L190)),ISNUMBER(SEARCH("Firestorm",$L190))),1, IF(ISNUMBER(SEARCH("Blast",$L190)),(4+$G190+(2-$G190)*0.5)/6*2,(4+$G190)/6)) *
_xlfn.IFS(AK$24-$I190 &lt;=1, 5/6, AK$24-$I190 &lt;=5, (7-(AK$24-$I190))/6, AND(AK$24-$I190 =6,NOT(_xlfn.IFNA(ISNUMBER(SEARCH("Rending",$L190)),FALSE))), (7-(AK$24-$I190))/6, AND(AK$24-$I190 &gt;=7,NOT(_xlfn.IFNA(ISNUMBER(SEARCH("Rending",$L190)),FALSE))), 0, AK$24-$I190 =7, (7-(AK$24-1-$I190))/6, AK$24-$I190 =8, (7-(AK$24-2-$I190))/6*2/3, AK$24-$I190 =9, (7-(AK$24-3-$I190))/6*1/3, TRUE, 0) *
IF(ISNUMBER(SEARCH("Ordinance",$L190)),7/6,1) *
IF(OR(ISNUMBER(SEARCH("Melee",$L190)),ISNUMBER(SEARCH("Bypass",$L190))),1.5,1)</f>
        <v>2.2222222222222223</v>
      </c>
      <c r="AL190" s="17" cm="1">
        <f t="array" ref="AL190">$H190 *
IF(ISNUMBER(SEARCH("Rapid",$L190)),7/6,1) *
IF(OR(ISNUMBER(SEARCH("Beam",$L190)),ISNUMBER(SEARCH("Firestorm",$L190))),1, IF(ISNUMBER(SEARCH("Blast",$L190)),(4+$G190+(2-$G190)*0.5)/6*2,(4+$G190)/6)) *
_xlfn.IFS(AL$24-$I190 &lt;=1, 5/6, AL$24-$I190 &lt;=5, (7-(AL$24-$I190))/6, AND(AL$24-$I190 =6,NOT(_xlfn.IFNA(ISNUMBER(SEARCH("Rending",$L190)),FALSE))), (7-(AL$24-$I190))/6, AND(AL$24-$I190 &gt;=7,NOT(_xlfn.IFNA(ISNUMBER(SEARCH("Rending",$L190)),FALSE))), 0, AL$24-$I190 =7, (7-(AL$24-1-$I190))/6, AL$24-$I190 =8, (7-(AL$24-2-$I190))/6*2/3, AL$24-$I190 =9, (7-(AL$24-3-$I190))/6*1/3, TRUE, 0) *
IF(ISNUMBER(SEARCH("Ordinance",$L190)),7/6,1) *
IF(OR(ISNUMBER(SEARCH("Melee",$L190)),ISNUMBER(SEARCH("Bypass",$L190))),1.5,1)</f>
        <v>1.7777777777777777</v>
      </c>
      <c r="AM190" s="17" cm="1">
        <f t="array" ref="AM190">$H190 *
IF(ISNUMBER(SEARCH("Rapid",$L190)),7/6,1) *
IF(OR(ISNUMBER(SEARCH("Beam",$L190)),ISNUMBER(SEARCH("Firestorm",$L190))),1, IF(ISNUMBER(SEARCH("Blast",$L190)),(4+$G190+(2-$G190)*0.5)/6*2,(4+$G190)/6)) *
_xlfn.IFS(AM$24-$I190 &lt;=1, 5/6, AM$24-$I190 &lt;=5, (7-(AM$24-$I190))/6, AND(AM$24-$I190 =6,NOT(_xlfn.IFNA(ISNUMBER(SEARCH("Rending",$L190)),FALSE))), (7-(AM$24-$I190))/6, AND(AM$24-$I190 &gt;=7,NOT(_xlfn.IFNA(ISNUMBER(SEARCH("Rending",$L190)),FALSE))), 0, AM$24-$I190 =7, (7-(AM$24-1-$I190))/6, AM$24-$I190 =8, (7-(AM$24-2-$I190))/6*2/3, AM$24-$I190 =9, (7-(AM$24-3-$I190))/6*1/3, TRUE, 0) *
IF(ISNUMBER(SEARCH("Ordinance",$L190)),7/6,1) *
IF(OR(ISNUMBER(SEARCH("Melee",$L190)),ISNUMBER(SEARCH("Bypass",$L190))),1.5,1)</f>
        <v>1.3333333333333333</v>
      </c>
      <c r="AN190" s="17" cm="1">
        <f t="array" ref="AN190">$H190 *
IF(ISNUMBER(SEARCH("Rapid",$L190)),7/6,1) *
IF(OR(ISNUMBER(SEARCH("Beam",$L190)),ISNUMBER(SEARCH("Firestorm",$L190))),1, IF(ISNUMBER(SEARCH("Blast",$L190)),(4+$G190+(2-$G190)*0.5)/6*2,(4+$G190)/6)) *
_xlfn.IFS(AN$24-$I190 &lt;=1, 5/6, AN$24-$I190 &lt;=5, (7-(AN$24-$I190))/6, AND(AN$24-$I190 =6,NOT(_xlfn.IFNA(ISNUMBER(SEARCH("Rending",$L190)),FALSE))), (7-(AN$24-$I190))/6, AND(AN$24-$I190 &gt;=7,NOT(_xlfn.IFNA(ISNUMBER(SEARCH("Rending",$L190)),FALSE))), 0, AN$24-$I190 =7, (7-(AN$24-1-$I190))/6, AN$24-$I190 =8, (7-(AN$24-2-$I190))/6*2/3, AN$24-$I190 =9, (7-(AN$24-3-$I190))/6*1/3, TRUE, 0) *
IF(ISNUMBER(SEARCH("Ordinance",$L190)),7/6,1) *
IF(OR(ISNUMBER(SEARCH("Melee",$L190)),ISNUMBER(SEARCH("Bypass",$L190))),1.5,1)</f>
        <v>0.88888888888888884</v>
      </c>
      <c r="AO190" s="17" cm="1">
        <f t="array" ref="AO190">$H190 *
IF(ISNUMBER(SEARCH("Rapid",$L190)),7/6,1) *
IF(OR(ISNUMBER(SEARCH("Beam",$L190)),ISNUMBER(SEARCH("Firestorm",$L190))),1, IF(ISNUMBER(SEARCH("Blast",$L190)),(4+$G190+(2-$G190)*0.5)/6*2,(4+$G190)/6)) *
_xlfn.IFS(AO$24-$I190 &lt;=1, 5/6, AO$24-$I190 &lt;=5, (7-(AO$24-$I190))/6, AND(AO$24-$I190 =6,NOT(_xlfn.IFNA(ISNUMBER(SEARCH("Rending",$L190)),FALSE))), (7-(AO$24-$I190))/6, AND(AO$24-$I190 &gt;=7,NOT(_xlfn.IFNA(ISNUMBER(SEARCH("Rending",$L190)),FALSE))), 0, AO$24-$I190 =7, (7-(AO$24-1-$I190))/6, AO$24-$I190 =8, (7-(AO$24-2-$I190))/6*2/3, AO$24-$I190 =9, (7-(AO$24-3-$I190))/6*1/3, TRUE, 0) *
IF(ISNUMBER(SEARCH("Ordinance",$L190)),7/6,1) *
IF(OR(ISNUMBER(SEARCH("Melee",$L190)),ISNUMBER(SEARCH("Bypass",$L190))),1.5,1)</f>
        <v>0.44444444444444442</v>
      </c>
      <c r="AP190" s="17" cm="1">
        <f t="array" ref="AP190">$H190 *
IF(ISNUMBER(SEARCH("Rapid",$L190)),7/6,1) *
IF(OR(ISNUMBER(SEARCH("Beam",$L190)),ISNUMBER(SEARCH("Firestorm",$L190))),1, IF(ISNUMBER(SEARCH("Blast",$L190)),(4+$G190+(2-$G190)*0.5)/6*2,(4+$G190)/6)) *
_xlfn.IFS(AP$24-$I190 &lt;=1, 5/6, AP$24-$I190 &lt;=5, (7-(AP$24-$I190))/6, AND(AP$24-$I190 =6,NOT(_xlfn.IFNA(ISNUMBER(SEARCH("Rending",$L190)),FALSE))), (7-(AP$24-$I190))/6, AND(AP$24-$I190 &gt;=7,NOT(_xlfn.IFNA(ISNUMBER(SEARCH("Rending",$L190)),FALSE))), 0, AP$24-$I190 =7, (7-(AP$24-1-$I190))/6, AP$24-$I190 =8, (7-(AP$24-2-$I190))/6*2/3, AP$24-$I190 =9, (7-(AP$24-3-$I190))/6*1/3, TRUE, 0) *
IF(ISNUMBER(SEARCH("Ordinance",$L190)),7/6,1) *
IF(OR(ISNUMBER(SEARCH("Melee",$L190)),ISNUMBER(SEARCH("Bypass",$L190))),1.5,1)</f>
        <v>0</v>
      </c>
      <c r="AQ190" s="17" cm="1">
        <f t="array" ref="AQ190">$H190 *
IF(ISNUMBER(SEARCH("Rapid",$L190)),7/6,1) *
IF(OR(ISNUMBER(SEARCH("Beam",$L190)),ISNUMBER(SEARCH("Firestorm",$L190))),1, IF(ISNUMBER(SEARCH("Blast",$L190)),(4+$G190+(2-$G190)*0.5)/6*2,(4+$G190)/6)) *
_xlfn.IFS(AQ$24-$I190 &lt;=1, 5/6, AQ$24-$I190 &lt;=5, (7-(AQ$24-$I190))/6, AND(AQ$24-$I190 =6,NOT(_xlfn.IFNA(ISNUMBER(SEARCH("Rending",$L190)),FALSE))), (7-(AQ$24-$I190))/6, AND(AQ$24-$I190 &gt;=7,NOT(_xlfn.IFNA(ISNUMBER(SEARCH("Rending",$L190)),FALSE))), 0, AQ$24-$I190 =7, (7-(AQ$24-1-$I190))/6, AQ$24-$I190 =8, (7-(AQ$24-2-$I190))/6*2/3, AQ$24-$I190 =9, (7-(AQ$24-3-$I190))/6*1/3, TRUE, 0) *
IF(ISNUMBER(SEARCH("Ordinance",$L190)),7/6,1) *
IF(OR(ISNUMBER(SEARCH("Melee",$L190)),ISNUMBER(SEARCH("Bypass",$L190))),1.5,1)</f>
        <v>0</v>
      </c>
      <c r="AS190" s="16">
        <f t="shared" si="47"/>
        <v>0.32592592592592595</v>
      </c>
      <c r="AT190" s="16">
        <f t="shared" si="47"/>
        <v>0.48888888888888893</v>
      </c>
      <c r="AU190" s="16">
        <f>IF(D190+E190=3,
 IF(E190=3, 2.5*AI190,
  IF(E190=2, 1.8*AI190+0.7*X190,
   IF(E190=1, 0.95*AI190+1.55*X190,
    2.5*X190))),
 IF(D190+E190=2,
  IF(E190=2, 1.55*AI190,
   IF(E190 =1, 0.85*AI190+0.7*X190,
    1.55*X190)),
  IF(E190=1, 0.95*AI190,
   0.7*X190))
)/3</f>
        <v>1.8518518518518519</v>
      </c>
      <c r="AV190" s="2">
        <v>11</v>
      </c>
    </row>
    <row r="191" spans="1:48" x14ac:dyDescent="0.3">
      <c r="A191" t="s">
        <v>851</v>
      </c>
      <c r="B191" s="3">
        <v>12</v>
      </c>
      <c r="C191" s="3">
        <v>36</v>
      </c>
      <c r="E191" s="3">
        <v>3</v>
      </c>
      <c r="F191" s="10"/>
      <c r="G191" s="10"/>
      <c r="H191" s="3">
        <v>2</v>
      </c>
      <c r="I191" s="3">
        <v>9</v>
      </c>
      <c r="K191" s="3">
        <v>50</v>
      </c>
      <c r="L191" s="3" t="s">
        <v>651</v>
      </c>
      <c r="M191" s="3" t="s">
        <v>225</v>
      </c>
      <c r="V191" s="16">
        <f t="shared" si="33"/>
        <v>1.1111111111111112</v>
      </c>
      <c r="W191" s="16">
        <f t="shared" si="34"/>
        <v>1.6666666666666667</v>
      </c>
      <c r="X191" s="17" cm="1">
        <f t="array" ref="X191">$H191 *
IF(ISNUMBER(SEARCH("Rapid",$L191)),7/6,1) *
IF(OR(ISNUMBER(SEARCH("Beam",$L191)),ISNUMBER(SEARCH("Firestorm",$L191))),1, IF(ISNUMBER(SEARCH("Blast",$L191)),(4+$F191+(2-$F191)*0.5)/6*2,(4+$F191)/6)) *
IF(ISNUMBER(SEARCH("Fusion",$L191)), _xlfn.IFS(X$24-$I191 &lt;=1, 9/10, X$24-$I191 &lt;=10,(11-(X$24-$I191))/10, X$24-$I191 &gt;=11, 0),
_xlfn.IFS(X$24-$I191 &lt;=1, 5/6, X$24-$I191 &lt;=5, (7-(X$24-$I191))/6, AND(X$24-$I191 =6,NOT(_xlfn.IFNA(ISNUMBER(SEARCH("Rending",$L191)),FALSE))), (7-(X$24-$I191))/6, AND(X$24-$I191 &gt;=7,NOT(_xlfn.IFNA(ISNUMBER(SEARCH("Rending",$L191)),FALSE))), 0, X$24-$I191 =7, (7-(X$24-1-$I191))/6, X$24-$I191 =8, (7-(X$24-2-$I191))/6*2/3, X$24-$I191 =9, (7-(X$24-3-$I191))/6*1/3, TRUE, 0)) *
IF(ISNUMBER(SEARCH("Ordinance",$L191)),7/6,1) *
IF(OR(ISNUMBER(SEARCH("Melee",$L191)),ISNUMBER(SEARCH("Bypass",$L191))),1.5,1)</f>
        <v>2.7777777777777781</v>
      </c>
      <c r="Y191" s="17" cm="1">
        <f t="array" ref="Y191">$H191 *
IF(ISNUMBER(SEARCH("Rapid",$L191)),7/6,1) *
IF(OR(ISNUMBER(SEARCH("Beam",$L191)),ISNUMBER(SEARCH("Firestorm",$L191))),1, IF(ISNUMBER(SEARCH("Blast",$L191)),(4+$F191+(2-$F191)*0.5)/6*2,(4+$F191)/6)) *
IF(ISNUMBER(SEARCH("Fusion",$L191)), _xlfn.IFS(Y$24-$I191 &lt;=1, 9/10, Y$24-$I191 &lt;=10,(11-(Y$24-$I191))/10, Y$24-$I191 &gt;=11, 0),
_xlfn.IFS(Y$24-$I191 &lt;=1, 5/6, Y$24-$I191 &lt;=5, (7-(Y$24-$I191))/6, AND(Y$24-$I191 =6,NOT(_xlfn.IFNA(ISNUMBER(SEARCH("Rending",$L191)),FALSE))), (7-(Y$24-$I191))/6, AND(Y$24-$I191 &gt;=7,NOT(_xlfn.IFNA(ISNUMBER(SEARCH("Rending",$L191)),FALSE))), 0, Y$24-$I191 =7, (7-(Y$24-1-$I191))/6, Y$24-$I191 =8, (7-(Y$24-2-$I191))/6*2/3, Y$24-$I191 =9, (7-(Y$24-3-$I191))/6*1/3, TRUE, 0)) *
IF(ISNUMBER(SEARCH("Ordinance",$L191)),7/6,1) *
IF(OR(ISNUMBER(SEARCH("Melee",$L191)),ISNUMBER(SEARCH("Bypass",$L191))),1.5,1)</f>
        <v>2.7777777777777781</v>
      </c>
      <c r="Z191" s="17" cm="1">
        <f t="array" ref="Z191">$H191 *
IF(ISNUMBER(SEARCH("Rapid",$L191)),7/6,1) *
IF(OR(ISNUMBER(SEARCH("Beam",$L191)),ISNUMBER(SEARCH("Firestorm",$L191))),1, IF(ISNUMBER(SEARCH("Blast",$L191)),(4+$F191+(2-$F191)*0.5)/6*2,(4+$F191)/6)) *
IF(ISNUMBER(SEARCH("Fusion",$L191)), _xlfn.IFS(Z$24-$I191 &lt;=1, 9/10, Z$24-$I191 &lt;=10,(11-(Z$24-$I191))/10, Z$24-$I191 &gt;=11, 0),
_xlfn.IFS(Z$24-$I191 &lt;=1, 5/6, Z$24-$I191 &lt;=5, (7-(Z$24-$I191))/6, AND(Z$24-$I191 =6,NOT(_xlfn.IFNA(ISNUMBER(SEARCH("Rending",$L191)),FALSE))), (7-(Z$24-$I191))/6, AND(Z$24-$I191 &gt;=7,NOT(_xlfn.IFNA(ISNUMBER(SEARCH("Rending",$L191)),FALSE))), 0, Z$24-$I191 =7, (7-(Z$24-1-$I191))/6, Z$24-$I191 =8, (7-(Z$24-2-$I191))/6*2/3, Z$24-$I191 =9, (7-(Z$24-3-$I191))/6*1/3, TRUE, 0)) *
IF(ISNUMBER(SEARCH("Ordinance",$L191)),7/6,1) *
IF(OR(ISNUMBER(SEARCH("Melee",$L191)),ISNUMBER(SEARCH("Bypass",$L191))),1.5,1)</f>
        <v>2.7777777777777781</v>
      </c>
      <c r="AA191" s="17" cm="1">
        <f t="array" ref="AA191">$H191 *
IF(ISNUMBER(SEARCH("Rapid",$L191)),7/6,1) *
IF(OR(ISNUMBER(SEARCH("Beam",$L191)),ISNUMBER(SEARCH("Firestorm",$L191))),1, IF(ISNUMBER(SEARCH("Blast",$L191)),(4+$F191+(2-$F191)*0.5)/6*2,(4+$F191)/6)) *
IF(ISNUMBER(SEARCH("Fusion",$L191)), _xlfn.IFS(AA$24-$I191 &lt;=1, 9/10, AA$24-$I191 &lt;=10,(11-(AA$24-$I191))/10, AA$24-$I191 &gt;=11, 0),
_xlfn.IFS(AA$24-$I191 &lt;=1, 5/6, AA$24-$I191 &lt;=5, (7-(AA$24-$I191))/6, AND(AA$24-$I191 =6,NOT(_xlfn.IFNA(ISNUMBER(SEARCH("Rending",$L191)),FALSE))), (7-(AA$24-$I191))/6, AND(AA$24-$I191 &gt;=7,NOT(_xlfn.IFNA(ISNUMBER(SEARCH("Rending",$L191)),FALSE))), 0, AA$24-$I191 =7, (7-(AA$24-1-$I191))/6, AA$24-$I191 =8, (7-(AA$24-2-$I191))/6*2/3, AA$24-$I191 =9, (7-(AA$24-3-$I191))/6*1/3, TRUE, 0)) *
IF(ISNUMBER(SEARCH("Ordinance",$L191)),7/6,1) *
IF(OR(ISNUMBER(SEARCH("Melee",$L191)),ISNUMBER(SEARCH("Bypass",$L191))),1.5,1)</f>
        <v>2.2222222222222223</v>
      </c>
      <c r="AB191" s="17" cm="1">
        <f t="array" ref="AB191">$H191 *
IF(ISNUMBER(SEARCH("Rapid",$L191)),7/6,1) *
IF(OR(ISNUMBER(SEARCH("Beam",$L191)),ISNUMBER(SEARCH("Firestorm",$L191))),1, IF(ISNUMBER(SEARCH("Blast",$L191)),(4+$F191+(2-$F191)*0.5)/6*2,(4+$F191)/6)) *
IF(ISNUMBER(SEARCH("Fusion",$L191)), _xlfn.IFS(AB$24-$I191 &lt;=1, 9/10, AB$24-$I191 &lt;=10,(11-(AB$24-$I191))/10, AB$24-$I191 &gt;=11, 0),
_xlfn.IFS(AB$24-$I191 &lt;=1, 5/6, AB$24-$I191 &lt;=5, (7-(AB$24-$I191))/6, AND(AB$24-$I191 =6,NOT(_xlfn.IFNA(ISNUMBER(SEARCH("Rending",$L191)),FALSE))), (7-(AB$24-$I191))/6, AND(AB$24-$I191 &gt;=7,NOT(_xlfn.IFNA(ISNUMBER(SEARCH("Rending",$L191)),FALSE))), 0, AB$24-$I191 =7, (7-(AB$24-1-$I191))/6, AB$24-$I191 =8, (7-(AB$24-2-$I191))/6*2/3, AB$24-$I191 =9, (7-(AB$24-3-$I191))/6*1/3, TRUE, 0)) *
IF(ISNUMBER(SEARCH("Ordinance",$L191)),7/6,1) *
IF(OR(ISNUMBER(SEARCH("Melee",$L191)),ISNUMBER(SEARCH("Bypass",$L191))),1.5,1)</f>
        <v>1.6666666666666667</v>
      </c>
      <c r="AC191" s="17" cm="1">
        <f t="array" ref="AC191">$H191 *
IF(ISNUMBER(SEARCH("Rapid",$L191)),7/6,1) *
IF(OR(ISNUMBER(SEARCH("Beam",$L191)),ISNUMBER(SEARCH("Firestorm",$L191))),1, IF(ISNUMBER(SEARCH("Blast",$L191)),(4+$F191+(2-$F191)*0.5)/6*2,(4+$F191)/6)) *
IF(ISNUMBER(SEARCH("Fusion",$L191)), _xlfn.IFS(AC$24-$I191 &lt;=1, 9/10, AC$24-$I191 &lt;=10,(11-(AC$24-$I191))/10, AC$24-$I191 &gt;=11, 0),
_xlfn.IFS(AC$24-$I191 &lt;=1, 5/6, AC$24-$I191 &lt;=5, (7-(AC$24-$I191))/6, AND(AC$24-$I191 =6,NOT(_xlfn.IFNA(ISNUMBER(SEARCH("Rending",$L191)),FALSE))), (7-(AC$24-$I191))/6, AND(AC$24-$I191 &gt;=7,NOT(_xlfn.IFNA(ISNUMBER(SEARCH("Rending",$L191)),FALSE))), 0, AC$24-$I191 =7, (7-(AC$24-1-$I191))/6, AC$24-$I191 =8, (7-(AC$24-2-$I191))/6*2/3, AC$24-$I191 =9, (7-(AC$24-3-$I191))/6*1/3, TRUE, 0)) *
IF(ISNUMBER(SEARCH("Ordinance",$L191)),7/6,1) *
IF(OR(ISNUMBER(SEARCH("Melee",$L191)),ISNUMBER(SEARCH("Bypass",$L191))),1.5,1)</f>
        <v>1.1111111111111112</v>
      </c>
      <c r="AD191" s="17" cm="1">
        <f t="array" ref="AD191">$H191 *
IF(ISNUMBER(SEARCH("Rapid",$L191)),7/6,1) *
IF(OR(ISNUMBER(SEARCH("Beam",$L191)),ISNUMBER(SEARCH("Firestorm",$L191))),1, IF(ISNUMBER(SEARCH("Blast",$L191)),(4+$F191+(2-$F191)*0.5)/6*2,(4+$F191)/6)) *
IF(ISNUMBER(SEARCH("Fusion",$L191)), _xlfn.IFS(AD$24-$I191 &lt;=1, 9/10, AD$24-$I191 &lt;=10,(11-(AD$24-$I191))/10, AD$24-$I191 &gt;=11, 0),
_xlfn.IFS(AD$24-$I191 &lt;=1, 5/6, AD$24-$I191 &lt;=5, (7-(AD$24-$I191))/6, AND(AD$24-$I191 =6,NOT(_xlfn.IFNA(ISNUMBER(SEARCH("Rending",$L191)),FALSE))), (7-(AD$24-$I191))/6, AND(AD$24-$I191 &gt;=7,NOT(_xlfn.IFNA(ISNUMBER(SEARCH("Rending",$L191)),FALSE))), 0, AD$24-$I191 =7, (7-(AD$24-1-$I191))/6, AD$24-$I191 =8, (7-(AD$24-2-$I191))/6*2/3, AD$24-$I191 =9, (7-(AD$24-3-$I191))/6*1/3, TRUE, 0)) *
IF(ISNUMBER(SEARCH("Ordinance",$L191)),7/6,1) *
IF(OR(ISNUMBER(SEARCH("Melee",$L191)),ISNUMBER(SEARCH("Bypass",$L191))),1.5,1)</f>
        <v>0.55555555555555558</v>
      </c>
      <c r="AE191" s="17" cm="1">
        <f t="array" ref="AE191">$H191 *
IF(ISNUMBER(SEARCH("Rapid",$L191)),7/6,1) *
IF(OR(ISNUMBER(SEARCH("Beam",$L191)),ISNUMBER(SEARCH("Firestorm",$L191))),1, IF(ISNUMBER(SEARCH("Blast",$L191)),(4+$F191+(2-$F191)*0.5)/6*2,(4+$F191)/6)) *
IF(ISNUMBER(SEARCH("Fusion",$L191)), _xlfn.IFS(AE$24-$I191 &lt;=1, 9/10, AE$24-$I191 &lt;=10,(11-(AE$24-$I191))/10, AE$24-$I191 &gt;=11, 0),
_xlfn.IFS(AE$24-$I191 &lt;=1, 5/6, AE$24-$I191 &lt;=5, (7-(AE$24-$I191))/6, AND(AE$24-$I191 =6,NOT(_xlfn.IFNA(ISNUMBER(SEARCH("Rending",$L191)),FALSE))), (7-(AE$24-$I191))/6, AND(AE$24-$I191 &gt;=7,NOT(_xlfn.IFNA(ISNUMBER(SEARCH("Rending",$L191)),FALSE))), 0, AE$24-$I191 =7, (7-(AE$24-1-$I191))/6, AE$24-$I191 =8, (7-(AE$24-2-$I191))/6*2/3, AE$24-$I191 =9, (7-(AE$24-3-$I191))/6*1/3, TRUE, 0)) *
IF(ISNUMBER(SEARCH("Ordinance",$L191)),7/6,1) *
IF(OR(ISNUMBER(SEARCH("Melee",$L191)),ISNUMBER(SEARCH("Bypass",$L191))),1.5,1)</f>
        <v>0</v>
      </c>
      <c r="AF191" s="17" cm="1">
        <f t="array" ref="AF191">$H191 *
IF(ISNUMBER(SEARCH("Rapid",$L191)),7/6,1) *
IF(OR(ISNUMBER(SEARCH("Beam",$L191)),ISNUMBER(SEARCH("Firestorm",$L191))),1, IF(ISNUMBER(SEARCH("Blast",$L191)),(4+$F191+(2-$F191)*0.5)/6*2,(4+$F191)/6)) *
IF(ISNUMBER(SEARCH("Fusion",$L191)), _xlfn.IFS(AF$24-$I191 &lt;=1, 9/10, AF$24-$I191 &lt;=10,(11-(AF$24-$I191))/10, AF$24-$I191 &gt;=11, 0),
_xlfn.IFS(AF$24-$I191 &lt;=1, 5/6, AF$24-$I191 &lt;=5, (7-(AF$24-$I191))/6, AND(AF$24-$I191 =6,NOT(_xlfn.IFNA(ISNUMBER(SEARCH("Rending",$L191)),FALSE))), (7-(AF$24-$I191))/6, AND(AF$24-$I191 &gt;=7,NOT(_xlfn.IFNA(ISNUMBER(SEARCH("Rending",$L191)),FALSE))), 0, AF$24-$I191 =7, (7-(AF$24-1-$I191))/6, AF$24-$I191 =8, (7-(AF$24-2-$I191))/6*2/3, AF$24-$I191 =9, (7-(AF$24-3-$I191))/6*1/3, TRUE, 0)) *
IF(ISNUMBER(SEARCH("Ordinance",$L191)),7/6,1) *
IF(OR(ISNUMBER(SEARCH("Melee",$L191)),ISNUMBER(SEARCH("Bypass",$L191))),1.5,1)</f>
        <v>0</v>
      </c>
      <c r="AG191" s="16">
        <f t="shared" si="35"/>
        <v>1.1111111111111112</v>
      </c>
      <c r="AH191" s="16">
        <f t="shared" si="36"/>
        <v>1.6666666666666667</v>
      </c>
      <c r="AI191" s="17" cm="1">
        <f t="array" ref="AI191">$H191 *
IF(ISNUMBER(SEARCH("Rapid",$L191)),7/6,1) *
IF(OR(ISNUMBER(SEARCH("Beam",$L191)),ISNUMBER(SEARCH("Firestorm",$L191))),1, IF(ISNUMBER(SEARCH("Blast",$L191)),(4+$G191+(2-$G191)*0.5)/6*2,(4+$G191)/6)) *
_xlfn.IFS(AI$24-$I191 &lt;=1, 5/6, AI$24-$I191 &lt;=5, (7-(AI$24-$I191))/6, AND(AI$24-$I191 =6,NOT(_xlfn.IFNA(ISNUMBER(SEARCH("Rending",$L191)),FALSE))), (7-(AI$24-$I191))/6, AND(AI$24-$I191 &gt;=7,NOT(_xlfn.IFNA(ISNUMBER(SEARCH("Rending",$L191)),FALSE))), 0, AI$24-$I191 =7, (7-(AI$24-1-$I191))/6, AI$24-$I191 =8, (7-(AI$24-2-$I191))/6*2/3, AI$24-$I191 =9, (7-(AI$24-3-$I191))/6*1/3, TRUE, 0) *
IF(ISNUMBER(SEARCH("Ordinance",$L191)),7/6,1) *
IF(OR(ISNUMBER(SEARCH("Melee",$L191)),ISNUMBER(SEARCH("Bypass",$L191))),1.5,1)</f>
        <v>2.7777777777777781</v>
      </c>
      <c r="AJ191" s="17" cm="1">
        <f t="array" ref="AJ191">$H191 *
IF(ISNUMBER(SEARCH("Rapid",$L191)),7/6,1) *
IF(OR(ISNUMBER(SEARCH("Beam",$L191)),ISNUMBER(SEARCH("Firestorm",$L191))),1, IF(ISNUMBER(SEARCH("Blast",$L191)),(4+$G191+(2-$G191)*0.5)/6*2,(4+$G191)/6)) *
_xlfn.IFS(AJ$24-$I191 &lt;=1, 5/6, AJ$24-$I191 &lt;=5, (7-(AJ$24-$I191))/6, AND(AJ$24-$I191 =6,NOT(_xlfn.IFNA(ISNUMBER(SEARCH("Rending",$L191)),FALSE))), (7-(AJ$24-$I191))/6, AND(AJ$24-$I191 &gt;=7,NOT(_xlfn.IFNA(ISNUMBER(SEARCH("Rending",$L191)),FALSE))), 0, AJ$24-$I191 =7, (7-(AJ$24-1-$I191))/6, AJ$24-$I191 =8, (7-(AJ$24-2-$I191))/6*2/3, AJ$24-$I191 =9, (7-(AJ$24-3-$I191))/6*1/3, TRUE, 0) *
IF(ISNUMBER(SEARCH("Ordinance",$L191)),7/6,1) *
IF(OR(ISNUMBER(SEARCH("Melee",$L191)),ISNUMBER(SEARCH("Bypass",$L191))),1.5,1)</f>
        <v>2.7777777777777781</v>
      </c>
      <c r="AK191" s="17" cm="1">
        <f t="array" ref="AK191">$H191 *
IF(ISNUMBER(SEARCH("Rapid",$L191)),7/6,1) *
IF(OR(ISNUMBER(SEARCH("Beam",$L191)),ISNUMBER(SEARCH("Firestorm",$L191))),1, IF(ISNUMBER(SEARCH("Blast",$L191)),(4+$G191+(2-$G191)*0.5)/6*2,(4+$G191)/6)) *
_xlfn.IFS(AK$24-$I191 &lt;=1, 5/6, AK$24-$I191 &lt;=5, (7-(AK$24-$I191))/6, AND(AK$24-$I191 =6,NOT(_xlfn.IFNA(ISNUMBER(SEARCH("Rending",$L191)),FALSE))), (7-(AK$24-$I191))/6, AND(AK$24-$I191 &gt;=7,NOT(_xlfn.IFNA(ISNUMBER(SEARCH("Rending",$L191)),FALSE))), 0, AK$24-$I191 =7, (7-(AK$24-1-$I191))/6, AK$24-$I191 =8, (7-(AK$24-2-$I191))/6*2/3, AK$24-$I191 =9, (7-(AK$24-3-$I191))/6*1/3, TRUE, 0) *
IF(ISNUMBER(SEARCH("Ordinance",$L191)),7/6,1) *
IF(OR(ISNUMBER(SEARCH("Melee",$L191)),ISNUMBER(SEARCH("Bypass",$L191))),1.5,1)</f>
        <v>2.7777777777777781</v>
      </c>
      <c r="AL191" s="17" cm="1">
        <f t="array" ref="AL191">$H191 *
IF(ISNUMBER(SEARCH("Rapid",$L191)),7/6,1) *
IF(OR(ISNUMBER(SEARCH("Beam",$L191)),ISNUMBER(SEARCH("Firestorm",$L191))),1, IF(ISNUMBER(SEARCH("Blast",$L191)),(4+$G191+(2-$G191)*0.5)/6*2,(4+$G191)/6)) *
_xlfn.IFS(AL$24-$I191 &lt;=1, 5/6, AL$24-$I191 &lt;=5, (7-(AL$24-$I191))/6, AND(AL$24-$I191 =6,NOT(_xlfn.IFNA(ISNUMBER(SEARCH("Rending",$L191)),FALSE))), (7-(AL$24-$I191))/6, AND(AL$24-$I191 &gt;=7,NOT(_xlfn.IFNA(ISNUMBER(SEARCH("Rending",$L191)),FALSE))), 0, AL$24-$I191 =7, (7-(AL$24-1-$I191))/6, AL$24-$I191 =8, (7-(AL$24-2-$I191))/6*2/3, AL$24-$I191 =9, (7-(AL$24-3-$I191))/6*1/3, TRUE, 0) *
IF(ISNUMBER(SEARCH("Ordinance",$L191)),7/6,1) *
IF(OR(ISNUMBER(SEARCH("Melee",$L191)),ISNUMBER(SEARCH("Bypass",$L191))),1.5,1)</f>
        <v>2.2222222222222223</v>
      </c>
      <c r="AM191" s="17" cm="1">
        <f t="array" ref="AM191">$H191 *
IF(ISNUMBER(SEARCH("Rapid",$L191)),7/6,1) *
IF(OR(ISNUMBER(SEARCH("Beam",$L191)),ISNUMBER(SEARCH("Firestorm",$L191))),1, IF(ISNUMBER(SEARCH("Blast",$L191)),(4+$G191+(2-$G191)*0.5)/6*2,(4+$G191)/6)) *
_xlfn.IFS(AM$24-$I191 &lt;=1, 5/6, AM$24-$I191 &lt;=5, (7-(AM$24-$I191))/6, AND(AM$24-$I191 =6,NOT(_xlfn.IFNA(ISNUMBER(SEARCH("Rending",$L191)),FALSE))), (7-(AM$24-$I191))/6, AND(AM$24-$I191 &gt;=7,NOT(_xlfn.IFNA(ISNUMBER(SEARCH("Rending",$L191)),FALSE))), 0, AM$24-$I191 =7, (7-(AM$24-1-$I191))/6, AM$24-$I191 =8, (7-(AM$24-2-$I191))/6*2/3, AM$24-$I191 =9, (7-(AM$24-3-$I191))/6*1/3, TRUE, 0) *
IF(ISNUMBER(SEARCH("Ordinance",$L191)),7/6,1) *
IF(OR(ISNUMBER(SEARCH("Melee",$L191)),ISNUMBER(SEARCH("Bypass",$L191))),1.5,1)</f>
        <v>1.6666666666666667</v>
      </c>
      <c r="AN191" s="17" cm="1">
        <f t="array" ref="AN191">$H191 *
IF(ISNUMBER(SEARCH("Rapid",$L191)),7/6,1) *
IF(OR(ISNUMBER(SEARCH("Beam",$L191)),ISNUMBER(SEARCH("Firestorm",$L191))),1, IF(ISNUMBER(SEARCH("Blast",$L191)),(4+$G191+(2-$G191)*0.5)/6*2,(4+$G191)/6)) *
_xlfn.IFS(AN$24-$I191 &lt;=1, 5/6, AN$24-$I191 &lt;=5, (7-(AN$24-$I191))/6, AND(AN$24-$I191 =6,NOT(_xlfn.IFNA(ISNUMBER(SEARCH("Rending",$L191)),FALSE))), (7-(AN$24-$I191))/6, AND(AN$24-$I191 &gt;=7,NOT(_xlfn.IFNA(ISNUMBER(SEARCH("Rending",$L191)),FALSE))), 0, AN$24-$I191 =7, (7-(AN$24-1-$I191))/6, AN$24-$I191 =8, (7-(AN$24-2-$I191))/6*2/3, AN$24-$I191 =9, (7-(AN$24-3-$I191))/6*1/3, TRUE, 0) *
IF(ISNUMBER(SEARCH("Ordinance",$L191)),7/6,1) *
IF(OR(ISNUMBER(SEARCH("Melee",$L191)),ISNUMBER(SEARCH("Bypass",$L191))),1.5,1)</f>
        <v>1.1111111111111112</v>
      </c>
      <c r="AO191" s="17" cm="1">
        <f t="array" ref="AO191">$H191 *
IF(ISNUMBER(SEARCH("Rapid",$L191)),7/6,1) *
IF(OR(ISNUMBER(SEARCH("Beam",$L191)),ISNUMBER(SEARCH("Firestorm",$L191))),1, IF(ISNUMBER(SEARCH("Blast",$L191)),(4+$G191+(2-$G191)*0.5)/6*2,(4+$G191)/6)) *
_xlfn.IFS(AO$24-$I191 &lt;=1, 5/6, AO$24-$I191 &lt;=5, (7-(AO$24-$I191))/6, AND(AO$24-$I191 =6,NOT(_xlfn.IFNA(ISNUMBER(SEARCH("Rending",$L191)),FALSE))), (7-(AO$24-$I191))/6, AND(AO$24-$I191 &gt;=7,NOT(_xlfn.IFNA(ISNUMBER(SEARCH("Rending",$L191)),FALSE))), 0, AO$24-$I191 =7, (7-(AO$24-1-$I191))/6, AO$24-$I191 =8, (7-(AO$24-2-$I191))/6*2/3, AO$24-$I191 =9, (7-(AO$24-3-$I191))/6*1/3, TRUE, 0) *
IF(ISNUMBER(SEARCH("Ordinance",$L191)),7/6,1) *
IF(OR(ISNUMBER(SEARCH("Melee",$L191)),ISNUMBER(SEARCH("Bypass",$L191))),1.5,1)</f>
        <v>0.55555555555555558</v>
      </c>
      <c r="AP191" s="17" cm="1">
        <f t="array" ref="AP191">$H191 *
IF(ISNUMBER(SEARCH("Rapid",$L191)),7/6,1) *
IF(OR(ISNUMBER(SEARCH("Beam",$L191)),ISNUMBER(SEARCH("Firestorm",$L191))),1, IF(ISNUMBER(SEARCH("Blast",$L191)),(4+$G191+(2-$G191)*0.5)/6*2,(4+$G191)/6)) *
_xlfn.IFS(AP$24-$I191 &lt;=1, 5/6, AP$24-$I191 &lt;=5, (7-(AP$24-$I191))/6, AND(AP$24-$I191 =6,NOT(_xlfn.IFNA(ISNUMBER(SEARCH("Rending",$L191)),FALSE))), (7-(AP$24-$I191))/6, AND(AP$24-$I191 &gt;=7,NOT(_xlfn.IFNA(ISNUMBER(SEARCH("Rending",$L191)),FALSE))), 0, AP$24-$I191 =7, (7-(AP$24-1-$I191))/6, AP$24-$I191 =8, (7-(AP$24-2-$I191))/6*2/3, AP$24-$I191 =9, (7-(AP$24-3-$I191))/6*1/3, TRUE, 0) *
IF(ISNUMBER(SEARCH("Ordinance",$L191)),7/6,1) *
IF(OR(ISNUMBER(SEARCH("Melee",$L191)),ISNUMBER(SEARCH("Bypass",$L191))),1.5,1)</f>
        <v>0</v>
      </c>
      <c r="AQ191" s="17" cm="1">
        <f t="array" ref="AQ191">$H191 *
IF(ISNUMBER(SEARCH("Rapid",$L191)),7/6,1) *
IF(OR(ISNUMBER(SEARCH("Beam",$L191)),ISNUMBER(SEARCH("Firestorm",$L191))),1, IF(ISNUMBER(SEARCH("Blast",$L191)),(4+$G191+(2-$G191)*0.5)/6*2,(4+$G191)/6)) *
_xlfn.IFS(AQ$24-$I191 &lt;=1, 5/6, AQ$24-$I191 &lt;=5, (7-(AQ$24-$I191))/6, AND(AQ$24-$I191 =6,NOT(_xlfn.IFNA(ISNUMBER(SEARCH("Rending",$L191)),FALSE))), (7-(AQ$24-$I191))/6, AND(AQ$24-$I191 &gt;=7,NOT(_xlfn.IFNA(ISNUMBER(SEARCH("Rending",$L191)),FALSE))), 0, AQ$24-$I191 =7, (7-(AQ$24-1-$I191))/6, AQ$24-$I191 =8, (7-(AQ$24-2-$I191))/6*2/3, AQ$24-$I191 =9, (7-(AQ$24-3-$I191))/6*1/3, TRUE, 0) *
IF(ISNUMBER(SEARCH("Ordinance",$L191)),7/6,1) *
IF(OR(ISNUMBER(SEARCH("Melee",$L191)),ISNUMBER(SEARCH("Bypass",$L191))),1.5,1)</f>
        <v>0</v>
      </c>
      <c r="AS191" s="16">
        <f t="shared" si="47"/>
        <v>0.40740740740740744</v>
      </c>
      <c r="AT191" s="16">
        <f t="shared" si="47"/>
        <v>0.61111111111111116</v>
      </c>
      <c r="AU191" s="16">
        <f>IF(D191+E191=3,
 IF(E191=3, 2.5*AI191,
  IF(E191=2, 1.8*AI191+0.7*X191,
   IF(E191=1, 0.95*AI191+1.55*X191,
    2.5*X191))),
 IF(D191+E191=2,
  IF(E191=2, 1.55*AI191,
   IF(E191 =1, 0.85*AI191+0.7*X191,
    1.55*X191)),
  IF(E191=1, 0.95*AI191,
   0.7*X191))
)/3</f>
        <v>2.3148148148148153</v>
      </c>
      <c r="AV191" s="2">
        <v>11</v>
      </c>
    </row>
    <row r="192" spans="1:48" x14ac:dyDescent="0.3">
      <c r="F192" s="10"/>
      <c r="G192" s="10"/>
      <c r="V192" s="16">
        <f t="shared" si="33"/>
        <v>0</v>
      </c>
      <c r="W192" s="16">
        <f t="shared" si="34"/>
        <v>0</v>
      </c>
      <c r="X192" s="17" cm="1">
        <f t="array" ref="X192">$H192 *
IF(ISNUMBER(SEARCH("Rapid",$L192)),7/6,1) *
IF(OR(ISNUMBER(SEARCH("Beam",$L192)),ISNUMBER(SEARCH("Firestorm",$L192))),1, IF(ISNUMBER(SEARCH("Blast",$L192)),(4+$F192+(2-$F192)*0.5)/6*2,(4+$F192)/6)) *
IF(ISNUMBER(SEARCH("Fusion",$L192)), _xlfn.IFS(X$24-$I192 &lt;=1, 9/10, X$24-$I192 &lt;=10,(11-(X$24-$I192))/10, X$24-$I192 &gt;=11, 0),
_xlfn.IFS(X$24-$I192 &lt;=1, 5/6, X$24-$I192 &lt;=5, (7-(X$24-$I192))/6, AND(X$24-$I192 =6,NOT(_xlfn.IFNA(ISNUMBER(SEARCH("Rending",$L192)),FALSE))), (7-(X$24-$I192))/6, AND(X$24-$I192 &gt;=7,NOT(_xlfn.IFNA(ISNUMBER(SEARCH("Rending",$L192)),FALSE))), 0, X$24-$I192 =7, (7-(X$24-1-$I192))/6, X$24-$I192 =8, (7-(X$24-2-$I192))/6*2/3, X$24-$I192 =9, (7-(X$24-3-$I192))/6*1/3, TRUE, 0)) *
IF(ISNUMBER(SEARCH("Ordinance",$L192)),7/6,1) *
IF(OR(ISNUMBER(SEARCH("Melee",$L192)),ISNUMBER(SEARCH("Bypass",$L192))),1.5,1)</f>
        <v>0</v>
      </c>
      <c r="Y192" s="17" cm="1">
        <f t="array" ref="Y192">$H192 *
IF(ISNUMBER(SEARCH("Rapid",$L192)),7/6,1) *
IF(OR(ISNUMBER(SEARCH("Beam",$L192)),ISNUMBER(SEARCH("Firestorm",$L192))),1, IF(ISNUMBER(SEARCH("Blast",$L192)),(4+$F192+(2-$F192)*0.5)/6*2,(4+$F192)/6)) *
IF(ISNUMBER(SEARCH("Fusion",$L192)), _xlfn.IFS(Y$24-$I192 &lt;=1, 9/10, Y$24-$I192 &lt;=10,(11-(Y$24-$I192))/10, Y$24-$I192 &gt;=11, 0),
_xlfn.IFS(Y$24-$I192 &lt;=1, 5/6, Y$24-$I192 &lt;=5, (7-(Y$24-$I192))/6, AND(Y$24-$I192 =6,NOT(_xlfn.IFNA(ISNUMBER(SEARCH("Rending",$L192)),FALSE))), (7-(Y$24-$I192))/6, AND(Y$24-$I192 &gt;=7,NOT(_xlfn.IFNA(ISNUMBER(SEARCH("Rending",$L192)),FALSE))), 0, Y$24-$I192 =7, (7-(Y$24-1-$I192))/6, Y$24-$I192 =8, (7-(Y$24-2-$I192))/6*2/3, Y$24-$I192 =9, (7-(Y$24-3-$I192))/6*1/3, TRUE, 0)) *
IF(ISNUMBER(SEARCH("Ordinance",$L192)),7/6,1) *
IF(OR(ISNUMBER(SEARCH("Melee",$L192)),ISNUMBER(SEARCH("Bypass",$L192))),1.5,1)</f>
        <v>0</v>
      </c>
      <c r="Z192" s="17" cm="1">
        <f t="array" ref="Z192">$H192 *
IF(ISNUMBER(SEARCH("Rapid",$L192)),7/6,1) *
IF(OR(ISNUMBER(SEARCH("Beam",$L192)),ISNUMBER(SEARCH("Firestorm",$L192))),1, IF(ISNUMBER(SEARCH("Blast",$L192)),(4+$F192+(2-$F192)*0.5)/6*2,(4+$F192)/6)) *
IF(ISNUMBER(SEARCH("Fusion",$L192)), _xlfn.IFS(Z$24-$I192 &lt;=1, 9/10, Z$24-$I192 &lt;=10,(11-(Z$24-$I192))/10, Z$24-$I192 &gt;=11, 0),
_xlfn.IFS(Z$24-$I192 &lt;=1, 5/6, Z$24-$I192 &lt;=5, (7-(Z$24-$I192))/6, AND(Z$24-$I192 =6,NOT(_xlfn.IFNA(ISNUMBER(SEARCH("Rending",$L192)),FALSE))), (7-(Z$24-$I192))/6, AND(Z$24-$I192 &gt;=7,NOT(_xlfn.IFNA(ISNUMBER(SEARCH("Rending",$L192)),FALSE))), 0, Z$24-$I192 =7, (7-(Z$24-1-$I192))/6, Z$24-$I192 =8, (7-(Z$24-2-$I192))/6*2/3, Z$24-$I192 =9, (7-(Z$24-3-$I192))/6*1/3, TRUE, 0)) *
IF(ISNUMBER(SEARCH("Ordinance",$L192)),7/6,1) *
IF(OR(ISNUMBER(SEARCH("Melee",$L192)),ISNUMBER(SEARCH("Bypass",$L192))),1.5,1)</f>
        <v>0</v>
      </c>
      <c r="AA192" s="17" cm="1">
        <f t="array" ref="AA192">$H192 *
IF(ISNUMBER(SEARCH("Rapid",$L192)),7/6,1) *
IF(OR(ISNUMBER(SEARCH("Beam",$L192)),ISNUMBER(SEARCH("Firestorm",$L192))),1, IF(ISNUMBER(SEARCH("Blast",$L192)),(4+$F192+(2-$F192)*0.5)/6*2,(4+$F192)/6)) *
IF(ISNUMBER(SEARCH("Fusion",$L192)), _xlfn.IFS(AA$24-$I192 &lt;=1, 9/10, AA$24-$I192 &lt;=10,(11-(AA$24-$I192))/10, AA$24-$I192 &gt;=11, 0),
_xlfn.IFS(AA$24-$I192 &lt;=1, 5/6, AA$24-$I192 &lt;=5, (7-(AA$24-$I192))/6, AND(AA$24-$I192 =6,NOT(_xlfn.IFNA(ISNUMBER(SEARCH("Rending",$L192)),FALSE))), (7-(AA$24-$I192))/6, AND(AA$24-$I192 &gt;=7,NOT(_xlfn.IFNA(ISNUMBER(SEARCH("Rending",$L192)),FALSE))), 0, AA$24-$I192 =7, (7-(AA$24-1-$I192))/6, AA$24-$I192 =8, (7-(AA$24-2-$I192))/6*2/3, AA$24-$I192 =9, (7-(AA$24-3-$I192))/6*1/3, TRUE, 0)) *
IF(ISNUMBER(SEARCH("Ordinance",$L192)),7/6,1) *
IF(OR(ISNUMBER(SEARCH("Melee",$L192)),ISNUMBER(SEARCH("Bypass",$L192))),1.5,1)</f>
        <v>0</v>
      </c>
      <c r="AB192" s="17" cm="1">
        <f t="array" ref="AB192">$H192 *
IF(ISNUMBER(SEARCH("Rapid",$L192)),7/6,1) *
IF(OR(ISNUMBER(SEARCH("Beam",$L192)),ISNUMBER(SEARCH("Firestorm",$L192))),1, IF(ISNUMBER(SEARCH("Blast",$L192)),(4+$F192+(2-$F192)*0.5)/6*2,(4+$F192)/6)) *
IF(ISNUMBER(SEARCH("Fusion",$L192)), _xlfn.IFS(AB$24-$I192 &lt;=1, 9/10, AB$24-$I192 &lt;=10,(11-(AB$24-$I192))/10, AB$24-$I192 &gt;=11, 0),
_xlfn.IFS(AB$24-$I192 &lt;=1, 5/6, AB$24-$I192 &lt;=5, (7-(AB$24-$I192))/6, AND(AB$24-$I192 =6,NOT(_xlfn.IFNA(ISNUMBER(SEARCH("Rending",$L192)),FALSE))), (7-(AB$24-$I192))/6, AND(AB$24-$I192 &gt;=7,NOT(_xlfn.IFNA(ISNUMBER(SEARCH("Rending",$L192)),FALSE))), 0, AB$24-$I192 =7, (7-(AB$24-1-$I192))/6, AB$24-$I192 =8, (7-(AB$24-2-$I192))/6*2/3, AB$24-$I192 =9, (7-(AB$24-3-$I192))/6*1/3, TRUE, 0)) *
IF(ISNUMBER(SEARCH("Ordinance",$L192)),7/6,1) *
IF(OR(ISNUMBER(SEARCH("Melee",$L192)),ISNUMBER(SEARCH("Bypass",$L192))),1.5,1)</f>
        <v>0</v>
      </c>
      <c r="AC192" s="17" cm="1">
        <f t="array" ref="AC192">$H192 *
IF(ISNUMBER(SEARCH("Rapid",$L192)),7/6,1) *
IF(OR(ISNUMBER(SEARCH("Beam",$L192)),ISNUMBER(SEARCH("Firestorm",$L192))),1, IF(ISNUMBER(SEARCH("Blast",$L192)),(4+$F192+(2-$F192)*0.5)/6*2,(4+$F192)/6)) *
IF(ISNUMBER(SEARCH("Fusion",$L192)), _xlfn.IFS(AC$24-$I192 &lt;=1, 9/10, AC$24-$I192 &lt;=10,(11-(AC$24-$I192))/10, AC$24-$I192 &gt;=11, 0),
_xlfn.IFS(AC$24-$I192 &lt;=1, 5/6, AC$24-$I192 &lt;=5, (7-(AC$24-$I192))/6, AND(AC$24-$I192 =6,NOT(_xlfn.IFNA(ISNUMBER(SEARCH("Rending",$L192)),FALSE))), (7-(AC$24-$I192))/6, AND(AC$24-$I192 &gt;=7,NOT(_xlfn.IFNA(ISNUMBER(SEARCH("Rending",$L192)),FALSE))), 0, AC$24-$I192 =7, (7-(AC$24-1-$I192))/6, AC$24-$I192 =8, (7-(AC$24-2-$I192))/6*2/3, AC$24-$I192 =9, (7-(AC$24-3-$I192))/6*1/3, TRUE, 0)) *
IF(ISNUMBER(SEARCH("Ordinance",$L192)),7/6,1) *
IF(OR(ISNUMBER(SEARCH("Melee",$L192)),ISNUMBER(SEARCH("Bypass",$L192))),1.5,1)</f>
        <v>0</v>
      </c>
      <c r="AD192" s="17" cm="1">
        <f t="array" ref="AD192">$H192 *
IF(ISNUMBER(SEARCH("Rapid",$L192)),7/6,1) *
IF(OR(ISNUMBER(SEARCH("Beam",$L192)),ISNUMBER(SEARCH("Firestorm",$L192))),1, IF(ISNUMBER(SEARCH("Blast",$L192)),(4+$F192+(2-$F192)*0.5)/6*2,(4+$F192)/6)) *
IF(ISNUMBER(SEARCH("Fusion",$L192)), _xlfn.IFS(AD$24-$I192 &lt;=1, 9/10, AD$24-$I192 &lt;=10,(11-(AD$24-$I192))/10, AD$24-$I192 &gt;=11, 0),
_xlfn.IFS(AD$24-$I192 &lt;=1, 5/6, AD$24-$I192 &lt;=5, (7-(AD$24-$I192))/6, AND(AD$24-$I192 =6,NOT(_xlfn.IFNA(ISNUMBER(SEARCH("Rending",$L192)),FALSE))), (7-(AD$24-$I192))/6, AND(AD$24-$I192 &gt;=7,NOT(_xlfn.IFNA(ISNUMBER(SEARCH("Rending",$L192)),FALSE))), 0, AD$24-$I192 =7, (7-(AD$24-1-$I192))/6, AD$24-$I192 =8, (7-(AD$24-2-$I192))/6*2/3, AD$24-$I192 =9, (7-(AD$24-3-$I192))/6*1/3, TRUE, 0)) *
IF(ISNUMBER(SEARCH("Ordinance",$L192)),7/6,1) *
IF(OR(ISNUMBER(SEARCH("Melee",$L192)),ISNUMBER(SEARCH("Bypass",$L192))),1.5,1)</f>
        <v>0</v>
      </c>
      <c r="AE192" s="17" cm="1">
        <f t="array" ref="AE192">$H192 *
IF(ISNUMBER(SEARCH("Rapid",$L192)),7/6,1) *
IF(OR(ISNUMBER(SEARCH("Beam",$L192)),ISNUMBER(SEARCH("Firestorm",$L192))),1, IF(ISNUMBER(SEARCH("Blast",$L192)),(4+$F192+(2-$F192)*0.5)/6*2,(4+$F192)/6)) *
IF(ISNUMBER(SEARCH("Fusion",$L192)), _xlfn.IFS(AE$24-$I192 &lt;=1, 9/10, AE$24-$I192 &lt;=10,(11-(AE$24-$I192))/10, AE$24-$I192 &gt;=11, 0),
_xlfn.IFS(AE$24-$I192 &lt;=1, 5/6, AE$24-$I192 &lt;=5, (7-(AE$24-$I192))/6, AND(AE$24-$I192 =6,NOT(_xlfn.IFNA(ISNUMBER(SEARCH("Rending",$L192)),FALSE))), (7-(AE$24-$I192))/6, AND(AE$24-$I192 &gt;=7,NOT(_xlfn.IFNA(ISNUMBER(SEARCH("Rending",$L192)),FALSE))), 0, AE$24-$I192 =7, (7-(AE$24-1-$I192))/6, AE$24-$I192 =8, (7-(AE$24-2-$I192))/6*2/3, AE$24-$I192 =9, (7-(AE$24-3-$I192))/6*1/3, TRUE, 0)) *
IF(ISNUMBER(SEARCH("Ordinance",$L192)),7/6,1) *
IF(OR(ISNUMBER(SEARCH("Melee",$L192)),ISNUMBER(SEARCH("Bypass",$L192))),1.5,1)</f>
        <v>0</v>
      </c>
      <c r="AF192" s="17" cm="1">
        <f t="array" ref="AF192">$H192 *
IF(ISNUMBER(SEARCH("Rapid",$L192)),7/6,1) *
IF(OR(ISNUMBER(SEARCH("Beam",$L192)),ISNUMBER(SEARCH("Firestorm",$L192))),1, IF(ISNUMBER(SEARCH("Blast",$L192)),(4+$F192+(2-$F192)*0.5)/6*2,(4+$F192)/6)) *
IF(ISNUMBER(SEARCH("Fusion",$L192)), _xlfn.IFS(AF$24-$I192 &lt;=1, 9/10, AF$24-$I192 &lt;=10,(11-(AF$24-$I192))/10, AF$24-$I192 &gt;=11, 0),
_xlfn.IFS(AF$24-$I192 &lt;=1, 5/6, AF$24-$I192 &lt;=5, (7-(AF$24-$I192))/6, AND(AF$24-$I192 =6,NOT(_xlfn.IFNA(ISNUMBER(SEARCH("Rending",$L192)),FALSE))), (7-(AF$24-$I192))/6, AND(AF$24-$I192 &gt;=7,NOT(_xlfn.IFNA(ISNUMBER(SEARCH("Rending",$L192)),FALSE))), 0, AF$24-$I192 =7, (7-(AF$24-1-$I192))/6, AF$24-$I192 =8, (7-(AF$24-2-$I192))/6*2/3, AF$24-$I192 =9, (7-(AF$24-3-$I192))/6*1/3, TRUE, 0)) *
IF(ISNUMBER(SEARCH("Ordinance",$L192)),7/6,1) *
IF(OR(ISNUMBER(SEARCH("Melee",$L192)),ISNUMBER(SEARCH("Bypass",$L192))),1.5,1)</f>
        <v>0</v>
      </c>
      <c r="AG192" s="16">
        <f t="shared" si="35"/>
        <v>0</v>
      </c>
      <c r="AH192" s="16">
        <f t="shared" si="36"/>
        <v>0</v>
      </c>
      <c r="AI192" s="17" cm="1">
        <f t="array" ref="AI192">$H192 *
IF(ISNUMBER(SEARCH("Rapid",$L192)),7/6,1) *
IF(OR(ISNUMBER(SEARCH("Beam",$L192)),ISNUMBER(SEARCH("Firestorm",$L192))),1, IF(ISNUMBER(SEARCH("Blast",$L192)),(4+$G192+(2-$G192)*0.5)/6*2,(4+$G192)/6)) *
_xlfn.IFS(AI$24-$I192 &lt;=1, 5/6, AI$24-$I192 &lt;=5, (7-(AI$24-$I192))/6, AND(AI$24-$I192 =6,NOT(_xlfn.IFNA(ISNUMBER(SEARCH("Rending",$L192)),FALSE))), (7-(AI$24-$I192))/6, AND(AI$24-$I192 &gt;=7,NOT(_xlfn.IFNA(ISNUMBER(SEARCH("Rending",$L192)),FALSE))), 0, AI$24-$I192 =7, (7-(AI$24-1-$I192))/6, AI$24-$I192 =8, (7-(AI$24-2-$I192))/6*2/3, AI$24-$I192 =9, (7-(AI$24-3-$I192))/6*1/3, TRUE, 0) *
IF(ISNUMBER(SEARCH("Ordinance",$L192)),7/6,1) *
IF(OR(ISNUMBER(SEARCH("Melee",$L192)),ISNUMBER(SEARCH("Bypass",$L192))),1.5,1)</f>
        <v>0</v>
      </c>
      <c r="AJ192" s="17" cm="1">
        <f t="array" ref="AJ192">$H192 *
IF(ISNUMBER(SEARCH("Rapid",$L192)),7/6,1) *
IF(OR(ISNUMBER(SEARCH("Beam",$L192)),ISNUMBER(SEARCH("Firestorm",$L192))),1, IF(ISNUMBER(SEARCH("Blast",$L192)),(4+$G192+(2-$G192)*0.5)/6*2,(4+$G192)/6)) *
_xlfn.IFS(AJ$24-$I192 &lt;=1, 5/6, AJ$24-$I192 &lt;=5, (7-(AJ$24-$I192))/6, AND(AJ$24-$I192 =6,NOT(_xlfn.IFNA(ISNUMBER(SEARCH("Rending",$L192)),FALSE))), (7-(AJ$24-$I192))/6, AND(AJ$24-$I192 &gt;=7,NOT(_xlfn.IFNA(ISNUMBER(SEARCH("Rending",$L192)),FALSE))), 0, AJ$24-$I192 =7, (7-(AJ$24-1-$I192))/6, AJ$24-$I192 =8, (7-(AJ$24-2-$I192))/6*2/3, AJ$24-$I192 =9, (7-(AJ$24-3-$I192))/6*1/3, TRUE, 0) *
IF(ISNUMBER(SEARCH("Ordinance",$L192)),7/6,1) *
IF(OR(ISNUMBER(SEARCH("Melee",$L192)),ISNUMBER(SEARCH("Bypass",$L192))),1.5,1)</f>
        <v>0</v>
      </c>
      <c r="AK192" s="17" cm="1">
        <f t="array" ref="AK192">$H192 *
IF(ISNUMBER(SEARCH("Rapid",$L192)),7/6,1) *
IF(OR(ISNUMBER(SEARCH("Beam",$L192)),ISNUMBER(SEARCH("Firestorm",$L192))),1, IF(ISNUMBER(SEARCH("Blast",$L192)),(4+$G192+(2-$G192)*0.5)/6*2,(4+$G192)/6)) *
_xlfn.IFS(AK$24-$I192 &lt;=1, 5/6, AK$24-$I192 &lt;=5, (7-(AK$24-$I192))/6, AND(AK$24-$I192 =6,NOT(_xlfn.IFNA(ISNUMBER(SEARCH("Rending",$L192)),FALSE))), (7-(AK$24-$I192))/6, AND(AK$24-$I192 &gt;=7,NOT(_xlfn.IFNA(ISNUMBER(SEARCH("Rending",$L192)),FALSE))), 0, AK$24-$I192 =7, (7-(AK$24-1-$I192))/6, AK$24-$I192 =8, (7-(AK$24-2-$I192))/6*2/3, AK$24-$I192 =9, (7-(AK$24-3-$I192))/6*1/3, TRUE, 0) *
IF(ISNUMBER(SEARCH("Ordinance",$L192)),7/6,1) *
IF(OR(ISNUMBER(SEARCH("Melee",$L192)),ISNUMBER(SEARCH("Bypass",$L192))),1.5,1)</f>
        <v>0</v>
      </c>
      <c r="AL192" s="17" cm="1">
        <f t="array" ref="AL192">$H192 *
IF(ISNUMBER(SEARCH("Rapid",$L192)),7/6,1) *
IF(OR(ISNUMBER(SEARCH("Beam",$L192)),ISNUMBER(SEARCH("Firestorm",$L192))),1, IF(ISNUMBER(SEARCH("Blast",$L192)),(4+$G192+(2-$G192)*0.5)/6*2,(4+$G192)/6)) *
_xlfn.IFS(AL$24-$I192 &lt;=1, 5/6, AL$24-$I192 &lt;=5, (7-(AL$24-$I192))/6, AND(AL$24-$I192 =6,NOT(_xlfn.IFNA(ISNUMBER(SEARCH("Rending",$L192)),FALSE))), (7-(AL$24-$I192))/6, AND(AL$24-$I192 &gt;=7,NOT(_xlfn.IFNA(ISNUMBER(SEARCH("Rending",$L192)),FALSE))), 0, AL$24-$I192 =7, (7-(AL$24-1-$I192))/6, AL$24-$I192 =8, (7-(AL$24-2-$I192))/6*2/3, AL$24-$I192 =9, (7-(AL$24-3-$I192))/6*1/3, TRUE, 0) *
IF(ISNUMBER(SEARCH("Ordinance",$L192)),7/6,1) *
IF(OR(ISNUMBER(SEARCH("Melee",$L192)),ISNUMBER(SEARCH("Bypass",$L192))),1.5,1)</f>
        <v>0</v>
      </c>
      <c r="AM192" s="17" cm="1">
        <f t="array" ref="AM192">$H192 *
IF(ISNUMBER(SEARCH("Rapid",$L192)),7/6,1) *
IF(OR(ISNUMBER(SEARCH("Beam",$L192)),ISNUMBER(SEARCH("Firestorm",$L192))),1, IF(ISNUMBER(SEARCH("Blast",$L192)),(4+$G192+(2-$G192)*0.5)/6*2,(4+$G192)/6)) *
_xlfn.IFS(AM$24-$I192 &lt;=1, 5/6, AM$24-$I192 &lt;=5, (7-(AM$24-$I192))/6, AND(AM$24-$I192 =6,NOT(_xlfn.IFNA(ISNUMBER(SEARCH("Rending",$L192)),FALSE))), (7-(AM$24-$I192))/6, AND(AM$24-$I192 &gt;=7,NOT(_xlfn.IFNA(ISNUMBER(SEARCH("Rending",$L192)),FALSE))), 0, AM$24-$I192 =7, (7-(AM$24-1-$I192))/6, AM$24-$I192 =8, (7-(AM$24-2-$I192))/6*2/3, AM$24-$I192 =9, (7-(AM$24-3-$I192))/6*1/3, TRUE, 0) *
IF(ISNUMBER(SEARCH("Ordinance",$L192)),7/6,1) *
IF(OR(ISNUMBER(SEARCH("Melee",$L192)),ISNUMBER(SEARCH("Bypass",$L192))),1.5,1)</f>
        <v>0</v>
      </c>
      <c r="AN192" s="17" cm="1">
        <f t="array" ref="AN192">$H192 *
IF(ISNUMBER(SEARCH("Rapid",$L192)),7/6,1) *
IF(OR(ISNUMBER(SEARCH("Beam",$L192)),ISNUMBER(SEARCH("Firestorm",$L192))),1, IF(ISNUMBER(SEARCH("Blast",$L192)),(4+$G192+(2-$G192)*0.5)/6*2,(4+$G192)/6)) *
_xlfn.IFS(AN$24-$I192 &lt;=1, 5/6, AN$24-$I192 &lt;=5, (7-(AN$24-$I192))/6, AND(AN$24-$I192 =6,NOT(_xlfn.IFNA(ISNUMBER(SEARCH("Rending",$L192)),FALSE))), (7-(AN$24-$I192))/6, AND(AN$24-$I192 &gt;=7,NOT(_xlfn.IFNA(ISNUMBER(SEARCH("Rending",$L192)),FALSE))), 0, AN$24-$I192 =7, (7-(AN$24-1-$I192))/6, AN$24-$I192 =8, (7-(AN$24-2-$I192))/6*2/3, AN$24-$I192 =9, (7-(AN$24-3-$I192))/6*1/3, TRUE, 0) *
IF(ISNUMBER(SEARCH("Ordinance",$L192)),7/6,1) *
IF(OR(ISNUMBER(SEARCH("Melee",$L192)),ISNUMBER(SEARCH("Bypass",$L192))),1.5,1)</f>
        <v>0</v>
      </c>
      <c r="AO192" s="17" cm="1">
        <f t="array" ref="AO192">$H192 *
IF(ISNUMBER(SEARCH("Rapid",$L192)),7/6,1) *
IF(OR(ISNUMBER(SEARCH("Beam",$L192)),ISNUMBER(SEARCH("Firestorm",$L192))),1, IF(ISNUMBER(SEARCH("Blast",$L192)),(4+$G192+(2-$G192)*0.5)/6*2,(4+$G192)/6)) *
_xlfn.IFS(AO$24-$I192 &lt;=1, 5/6, AO$24-$I192 &lt;=5, (7-(AO$24-$I192))/6, AND(AO$24-$I192 =6,NOT(_xlfn.IFNA(ISNUMBER(SEARCH("Rending",$L192)),FALSE))), (7-(AO$24-$I192))/6, AND(AO$24-$I192 &gt;=7,NOT(_xlfn.IFNA(ISNUMBER(SEARCH("Rending",$L192)),FALSE))), 0, AO$24-$I192 =7, (7-(AO$24-1-$I192))/6, AO$24-$I192 =8, (7-(AO$24-2-$I192))/6*2/3, AO$24-$I192 =9, (7-(AO$24-3-$I192))/6*1/3, TRUE, 0) *
IF(ISNUMBER(SEARCH("Ordinance",$L192)),7/6,1) *
IF(OR(ISNUMBER(SEARCH("Melee",$L192)),ISNUMBER(SEARCH("Bypass",$L192))),1.5,1)</f>
        <v>0</v>
      </c>
      <c r="AP192" s="17" cm="1">
        <f t="array" ref="AP192">$H192 *
IF(ISNUMBER(SEARCH("Rapid",$L192)),7/6,1) *
IF(OR(ISNUMBER(SEARCH("Beam",$L192)),ISNUMBER(SEARCH("Firestorm",$L192))),1, IF(ISNUMBER(SEARCH("Blast",$L192)),(4+$G192+(2-$G192)*0.5)/6*2,(4+$G192)/6)) *
_xlfn.IFS(AP$24-$I192 &lt;=1, 5/6, AP$24-$I192 &lt;=5, (7-(AP$24-$I192))/6, AND(AP$24-$I192 =6,NOT(_xlfn.IFNA(ISNUMBER(SEARCH("Rending",$L192)),FALSE))), (7-(AP$24-$I192))/6, AND(AP$24-$I192 &gt;=7,NOT(_xlfn.IFNA(ISNUMBER(SEARCH("Rending",$L192)),FALSE))), 0, AP$24-$I192 =7, (7-(AP$24-1-$I192))/6, AP$24-$I192 =8, (7-(AP$24-2-$I192))/6*2/3, AP$24-$I192 =9, (7-(AP$24-3-$I192))/6*1/3, TRUE, 0) *
IF(ISNUMBER(SEARCH("Ordinance",$L192)),7/6,1) *
IF(OR(ISNUMBER(SEARCH("Melee",$L192)),ISNUMBER(SEARCH("Bypass",$L192))),1.5,1)</f>
        <v>0</v>
      </c>
      <c r="AQ192" s="17" cm="1">
        <f t="array" ref="AQ192">$H192 *
IF(ISNUMBER(SEARCH("Rapid",$L192)),7/6,1) *
IF(OR(ISNUMBER(SEARCH("Beam",$L192)),ISNUMBER(SEARCH("Firestorm",$L192))),1, IF(ISNUMBER(SEARCH("Blast",$L192)),(4+$G192+(2-$G192)*0.5)/6*2,(4+$G192)/6)) *
_xlfn.IFS(AQ$24-$I192 &lt;=1, 5/6, AQ$24-$I192 &lt;=5, (7-(AQ$24-$I192))/6, AND(AQ$24-$I192 =6,NOT(_xlfn.IFNA(ISNUMBER(SEARCH("Rending",$L192)),FALSE))), (7-(AQ$24-$I192))/6, AND(AQ$24-$I192 &gt;=7,NOT(_xlfn.IFNA(ISNUMBER(SEARCH("Rending",$L192)),FALSE))), 0, AQ$24-$I192 =7, (7-(AQ$24-1-$I192))/6, AQ$24-$I192 =8, (7-(AQ$24-2-$I192))/6*2/3, AQ$24-$I192 =9, (7-(AQ$24-3-$I192))/6*1/3, TRUE, 0) *
IF(ISNUMBER(SEARCH("Ordinance",$L192)),7/6,1) *
IF(OR(ISNUMBER(SEARCH("Melee",$L192)),ISNUMBER(SEARCH("Bypass",$L192))),1.5,1)</f>
        <v>0</v>
      </c>
    </row>
    <row r="193" spans="1:48" x14ac:dyDescent="0.3">
      <c r="A193" s="6" t="s">
        <v>867</v>
      </c>
      <c r="B193" s="64" t="s">
        <v>868</v>
      </c>
      <c r="F193" s="10"/>
      <c r="G193" s="10"/>
      <c r="V193" s="16">
        <f t="shared" si="33"/>
        <v>0</v>
      </c>
      <c r="W193" s="16">
        <f t="shared" si="34"/>
        <v>0</v>
      </c>
      <c r="X193" s="17" cm="1">
        <f t="array" ref="X193">$H193 *
IF(ISNUMBER(SEARCH("Rapid",$L193)),7/6,1) *
IF(OR(ISNUMBER(SEARCH("Beam",$L193)),ISNUMBER(SEARCH("Firestorm",$L193))),1, IF(ISNUMBER(SEARCH("Blast",$L193)),(4+$F193+(2-$F193)*0.5)/6*2,(4+$F193)/6)) *
IF(ISNUMBER(SEARCH("Fusion",$L193)), _xlfn.IFS(X$24-$I193 &lt;=1, 9/10, X$24-$I193 &lt;=10,(11-(X$24-$I193))/10, X$24-$I193 &gt;=11, 0),
_xlfn.IFS(X$24-$I193 &lt;=1, 5/6, X$24-$I193 &lt;=5, (7-(X$24-$I193))/6, AND(X$24-$I193 =6,NOT(_xlfn.IFNA(ISNUMBER(SEARCH("Rending",$L193)),FALSE))), (7-(X$24-$I193))/6, AND(X$24-$I193 &gt;=7,NOT(_xlfn.IFNA(ISNUMBER(SEARCH("Rending",$L193)),FALSE))), 0, X$24-$I193 =7, (7-(X$24-1-$I193))/6, X$24-$I193 =8, (7-(X$24-2-$I193))/6*2/3, X$24-$I193 =9, (7-(X$24-3-$I193))/6*1/3, TRUE, 0)) *
IF(ISNUMBER(SEARCH("Ordinance",$L193)),7/6,1) *
IF(OR(ISNUMBER(SEARCH("Melee",$L193)),ISNUMBER(SEARCH("Bypass",$L193))),1.5,1)</f>
        <v>0</v>
      </c>
      <c r="Y193" s="17" cm="1">
        <f t="array" ref="Y193">$H193 *
IF(ISNUMBER(SEARCH("Rapid",$L193)),7/6,1) *
IF(OR(ISNUMBER(SEARCH("Beam",$L193)),ISNUMBER(SEARCH("Firestorm",$L193))),1, IF(ISNUMBER(SEARCH("Blast",$L193)),(4+$F193+(2-$F193)*0.5)/6*2,(4+$F193)/6)) *
IF(ISNUMBER(SEARCH("Fusion",$L193)), _xlfn.IFS(Y$24-$I193 &lt;=1, 9/10, Y$24-$I193 &lt;=10,(11-(Y$24-$I193))/10, Y$24-$I193 &gt;=11, 0),
_xlfn.IFS(Y$24-$I193 &lt;=1, 5/6, Y$24-$I193 &lt;=5, (7-(Y$24-$I193))/6, AND(Y$24-$I193 =6,NOT(_xlfn.IFNA(ISNUMBER(SEARCH("Rending",$L193)),FALSE))), (7-(Y$24-$I193))/6, AND(Y$24-$I193 &gt;=7,NOT(_xlfn.IFNA(ISNUMBER(SEARCH("Rending",$L193)),FALSE))), 0, Y$24-$I193 =7, (7-(Y$24-1-$I193))/6, Y$24-$I193 =8, (7-(Y$24-2-$I193))/6*2/3, Y$24-$I193 =9, (7-(Y$24-3-$I193))/6*1/3, TRUE, 0)) *
IF(ISNUMBER(SEARCH("Ordinance",$L193)),7/6,1) *
IF(OR(ISNUMBER(SEARCH("Melee",$L193)),ISNUMBER(SEARCH("Bypass",$L193))),1.5,1)</f>
        <v>0</v>
      </c>
      <c r="Z193" s="17" cm="1">
        <f t="array" ref="Z193">$H193 *
IF(ISNUMBER(SEARCH("Rapid",$L193)),7/6,1) *
IF(OR(ISNUMBER(SEARCH("Beam",$L193)),ISNUMBER(SEARCH("Firestorm",$L193))),1, IF(ISNUMBER(SEARCH("Blast",$L193)),(4+$F193+(2-$F193)*0.5)/6*2,(4+$F193)/6)) *
IF(ISNUMBER(SEARCH("Fusion",$L193)), _xlfn.IFS(Z$24-$I193 &lt;=1, 9/10, Z$24-$I193 &lt;=10,(11-(Z$24-$I193))/10, Z$24-$I193 &gt;=11, 0),
_xlfn.IFS(Z$24-$I193 &lt;=1, 5/6, Z$24-$I193 &lt;=5, (7-(Z$24-$I193))/6, AND(Z$24-$I193 =6,NOT(_xlfn.IFNA(ISNUMBER(SEARCH("Rending",$L193)),FALSE))), (7-(Z$24-$I193))/6, AND(Z$24-$I193 &gt;=7,NOT(_xlfn.IFNA(ISNUMBER(SEARCH("Rending",$L193)),FALSE))), 0, Z$24-$I193 =7, (7-(Z$24-1-$I193))/6, Z$24-$I193 =8, (7-(Z$24-2-$I193))/6*2/3, Z$24-$I193 =9, (7-(Z$24-3-$I193))/6*1/3, TRUE, 0)) *
IF(ISNUMBER(SEARCH("Ordinance",$L193)),7/6,1) *
IF(OR(ISNUMBER(SEARCH("Melee",$L193)),ISNUMBER(SEARCH("Bypass",$L193))),1.5,1)</f>
        <v>0</v>
      </c>
      <c r="AA193" s="17" cm="1">
        <f t="array" ref="AA193">$H193 *
IF(ISNUMBER(SEARCH("Rapid",$L193)),7/6,1) *
IF(OR(ISNUMBER(SEARCH("Beam",$L193)),ISNUMBER(SEARCH("Firestorm",$L193))),1, IF(ISNUMBER(SEARCH("Blast",$L193)),(4+$F193+(2-$F193)*0.5)/6*2,(4+$F193)/6)) *
IF(ISNUMBER(SEARCH("Fusion",$L193)), _xlfn.IFS(AA$24-$I193 &lt;=1, 9/10, AA$24-$I193 &lt;=10,(11-(AA$24-$I193))/10, AA$24-$I193 &gt;=11, 0),
_xlfn.IFS(AA$24-$I193 &lt;=1, 5/6, AA$24-$I193 &lt;=5, (7-(AA$24-$I193))/6, AND(AA$24-$I193 =6,NOT(_xlfn.IFNA(ISNUMBER(SEARCH("Rending",$L193)),FALSE))), (7-(AA$24-$I193))/6, AND(AA$24-$I193 &gt;=7,NOT(_xlfn.IFNA(ISNUMBER(SEARCH("Rending",$L193)),FALSE))), 0, AA$24-$I193 =7, (7-(AA$24-1-$I193))/6, AA$24-$I193 =8, (7-(AA$24-2-$I193))/6*2/3, AA$24-$I193 =9, (7-(AA$24-3-$I193))/6*1/3, TRUE, 0)) *
IF(ISNUMBER(SEARCH("Ordinance",$L193)),7/6,1) *
IF(OR(ISNUMBER(SEARCH("Melee",$L193)),ISNUMBER(SEARCH("Bypass",$L193))),1.5,1)</f>
        <v>0</v>
      </c>
      <c r="AB193" s="17" cm="1">
        <f t="array" ref="AB193">$H193 *
IF(ISNUMBER(SEARCH("Rapid",$L193)),7/6,1) *
IF(OR(ISNUMBER(SEARCH("Beam",$L193)),ISNUMBER(SEARCH("Firestorm",$L193))),1, IF(ISNUMBER(SEARCH("Blast",$L193)),(4+$F193+(2-$F193)*0.5)/6*2,(4+$F193)/6)) *
IF(ISNUMBER(SEARCH("Fusion",$L193)), _xlfn.IFS(AB$24-$I193 &lt;=1, 9/10, AB$24-$I193 &lt;=10,(11-(AB$24-$I193))/10, AB$24-$I193 &gt;=11, 0),
_xlfn.IFS(AB$24-$I193 &lt;=1, 5/6, AB$24-$I193 &lt;=5, (7-(AB$24-$I193))/6, AND(AB$24-$I193 =6,NOT(_xlfn.IFNA(ISNUMBER(SEARCH("Rending",$L193)),FALSE))), (7-(AB$24-$I193))/6, AND(AB$24-$I193 &gt;=7,NOT(_xlfn.IFNA(ISNUMBER(SEARCH("Rending",$L193)),FALSE))), 0, AB$24-$I193 =7, (7-(AB$24-1-$I193))/6, AB$24-$I193 =8, (7-(AB$24-2-$I193))/6*2/3, AB$24-$I193 =9, (7-(AB$24-3-$I193))/6*1/3, TRUE, 0)) *
IF(ISNUMBER(SEARCH("Ordinance",$L193)),7/6,1) *
IF(OR(ISNUMBER(SEARCH("Melee",$L193)),ISNUMBER(SEARCH("Bypass",$L193))),1.5,1)</f>
        <v>0</v>
      </c>
      <c r="AC193" s="17" cm="1">
        <f t="array" ref="AC193">$H193 *
IF(ISNUMBER(SEARCH("Rapid",$L193)),7/6,1) *
IF(OR(ISNUMBER(SEARCH("Beam",$L193)),ISNUMBER(SEARCH("Firestorm",$L193))),1, IF(ISNUMBER(SEARCH("Blast",$L193)),(4+$F193+(2-$F193)*0.5)/6*2,(4+$F193)/6)) *
IF(ISNUMBER(SEARCH("Fusion",$L193)), _xlfn.IFS(AC$24-$I193 &lt;=1, 9/10, AC$24-$I193 &lt;=10,(11-(AC$24-$I193))/10, AC$24-$I193 &gt;=11, 0),
_xlfn.IFS(AC$24-$I193 &lt;=1, 5/6, AC$24-$I193 &lt;=5, (7-(AC$24-$I193))/6, AND(AC$24-$I193 =6,NOT(_xlfn.IFNA(ISNUMBER(SEARCH("Rending",$L193)),FALSE))), (7-(AC$24-$I193))/6, AND(AC$24-$I193 &gt;=7,NOT(_xlfn.IFNA(ISNUMBER(SEARCH("Rending",$L193)),FALSE))), 0, AC$24-$I193 =7, (7-(AC$24-1-$I193))/6, AC$24-$I193 =8, (7-(AC$24-2-$I193))/6*2/3, AC$24-$I193 =9, (7-(AC$24-3-$I193))/6*1/3, TRUE, 0)) *
IF(ISNUMBER(SEARCH("Ordinance",$L193)),7/6,1) *
IF(OR(ISNUMBER(SEARCH("Melee",$L193)),ISNUMBER(SEARCH("Bypass",$L193))),1.5,1)</f>
        <v>0</v>
      </c>
      <c r="AD193" s="17" cm="1">
        <f t="array" ref="AD193">$H193 *
IF(ISNUMBER(SEARCH("Rapid",$L193)),7/6,1) *
IF(OR(ISNUMBER(SEARCH("Beam",$L193)),ISNUMBER(SEARCH("Firestorm",$L193))),1, IF(ISNUMBER(SEARCH("Blast",$L193)),(4+$F193+(2-$F193)*0.5)/6*2,(4+$F193)/6)) *
IF(ISNUMBER(SEARCH("Fusion",$L193)), _xlfn.IFS(AD$24-$I193 &lt;=1, 9/10, AD$24-$I193 &lt;=10,(11-(AD$24-$I193))/10, AD$24-$I193 &gt;=11, 0),
_xlfn.IFS(AD$24-$I193 &lt;=1, 5/6, AD$24-$I193 &lt;=5, (7-(AD$24-$I193))/6, AND(AD$24-$I193 =6,NOT(_xlfn.IFNA(ISNUMBER(SEARCH("Rending",$L193)),FALSE))), (7-(AD$24-$I193))/6, AND(AD$24-$I193 &gt;=7,NOT(_xlfn.IFNA(ISNUMBER(SEARCH("Rending",$L193)),FALSE))), 0, AD$24-$I193 =7, (7-(AD$24-1-$I193))/6, AD$24-$I193 =8, (7-(AD$24-2-$I193))/6*2/3, AD$24-$I193 =9, (7-(AD$24-3-$I193))/6*1/3, TRUE, 0)) *
IF(ISNUMBER(SEARCH("Ordinance",$L193)),7/6,1) *
IF(OR(ISNUMBER(SEARCH("Melee",$L193)),ISNUMBER(SEARCH("Bypass",$L193))),1.5,1)</f>
        <v>0</v>
      </c>
      <c r="AE193" s="17" cm="1">
        <f t="array" ref="AE193">$H193 *
IF(ISNUMBER(SEARCH("Rapid",$L193)),7/6,1) *
IF(OR(ISNUMBER(SEARCH("Beam",$L193)),ISNUMBER(SEARCH("Firestorm",$L193))),1, IF(ISNUMBER(SEARCH("Blast",$L193)),(4+$F193+(2-$F193)*0.5)/6*2,(4+$F193)/6)) *
IF(ISNUMBER(SEARCH("Fusion",$L193)), _xlfn.IFS(AE$24-$I193 &lt;=1, 9/10, AE$24-$I193 &lt;=10,(11-(AE$24-$I193))/10, AE$24-$I193 &gt;=11, 0),
_xlfn.IFS(AE$24-$I193 &lt;=1, 5/6, AE$24-$I193 &lt;=5, (7-(AE$24-$I193))/6, AND(AE$24-$I193 =6,NOT(_xlfn.IFNA(ISNUMBER(SEARCH("Rending",$L193)),FALSE))), (7-(AE$24-$I193))/6, AND(AE$24-$I193 &gt;=7,NOT(_xlfn.IFNA(ISNUMBER(SEARCH("Rending",$L193)),FALSE))), 0, AE$24-$I193 =7, (7-(AE$24-1-$I193))/6, AE$24-$I193 =8, (7-(AE$24-2-$I193))/6*2/3, AE$24-$I193 =9, (7-(AE$24-3-$I193))/6*1/3, TRUE, 0)) *
IF(ISNUMBER(SEARCH("Ordinance",$L193)),7/6,1) *
IF(OR(ISNUMBER(SEARCH("Melee",$L193)),ISNUMBER(SEARCH("Bypass",$L193))),1.5,1)</f>
        <v>0</v>
      </c>
      <c r="AF193" s="17" cm="1">
        <f t="array" ref="AF193">$H193 *
IF(ISNUMBER(SEARCH("Rapid",$L193)),7/6,1) *
IF(OR(ISNUMBER(SEARCH("Beam",$L193)),ISNUMBER(SEARCH("Firestorm",$L193))),1, IF(ISNUMBER(SEARCH("Blast",$L193)),(4+$F193+(2-$F193)*0.5)/6*2,(4+$F193)/6)) *
IF(ISNUMBER(SEARCH("Fusion",$L193)), _xlfn.IFS(AF$24-$I193 &lt;=1, 9/10, AF$24-$I193 &lt;=10,(11-(AF$24-$I193))/10, AF$24-$I193 &gt;=11, 0),
_xlfn.IFS(AF$24-$I193 &lt;=1, 5/6, AF$24-$I193 &lt;=5, (7-(AF$24-$I193))/6, AND(AF$24-$I193 =6,NOT(_xlfn.IFNA(ISNUMBER(SEARCH("Rending",$L193)),FALSE))), (7-(AF$24-$I193))/6, AND(AF$24-$I193 &gt;=7,NOT(_xlfn.IFNA(ISNUMBER(SEARCH("Rending",$L193)),FALSE))), 0, AF$24-$I193 =7, (7-(AF$24-1-$I193))/6, AF$24-$I193 =8, (7-(AF$24-2-$I193))/6*2/3, AF$24-$I193 =9, (7-(AF$24-3-$I193))/6*1/3, TRUE, 0)) *
IF(ISNUMBER(SEARCH("Ordinance",$L193)),7/6,1) *
IF(OR(ISNUMBER(SEARCH("Melee",$L193)),ISNUMBER(SEARCH("Bypass",$L193))),1.5,1)</f>
        <v>0</v>
      </c>
      <c r="AG193" s="16">
        <f t="shared" si="35"/>
        <v>0</v>
      </c>
      <c r="AH193" s="16">
        <f t="shared" si="36"/>
        <v>0</v>
      </c>
      <c r="AI193" s="17" cm="1">
        <f t="array" ref="AI193">$H193 *
IF(ISNUMBER(SEARCH("Rapid",$L193)),7/6,1) *
IF(OR(ISNUMBER(SEARCH("Beam",$L193)),ISNUMBER(SEARCH("Firestorm",$L193))),1, IF(ISNUMBER(SEARCH("Blast",$L193)),(4+$G193+(2-$G193)*0.5)/6*2,(4+$G193)/6)) *
_xlfn.IFS(AI$24-$I193 &lt;=1, 5/6, AI$24-$I193 &lt;=5, (7-(AI$24-$I193))/6, AND(AI$24-$I193 =6,NOT(_xlfn.IFNA(ISNUMBER(SEARCH("Rending",$L193)),FALSE))), (7-(AI$24-$I193))/6, AND(AI$24-$I193 &gt;=7,NOT(_xlfn.IFNA(ISNUMBER(SEARCH("Rending",$L193)),FALSE))), 0, AI$24-$I193 =7, (7-(AI$24-1-$I193))/6, AI$24-$I193 =8, (7-(AI$24-2-$I193))/6*2/3, AI$24-$I193 =9, (7-(AI$24-3-$I193))/6*1/3, TRUE, 0) *
IF(ISNUMBER(SEARCH("Ordinance",$L193)),7/6,1) *
IF(OR(ISNUMBER(SEARCH("Melee",$L193)),ISNUMBER(SEARCH("Bypass",$L193))),1.5,1)</f>
        <v>0</v>
      </c>
      <c r="AJ193" s="17" cm="1">
        <f t="array" ref="AJ193">$H193 *
IF(ISNUMBER(SEARCH("Rapid",$L193)),7/6,1) *
IF(OR(ISNUMBER(SEARCH("Beam",$L193)),ISNUMBER(SEARCH("Firestorm",$L193))),1, IF(ISNUMBER(SEARCH("Blast",$L193)),(4+$G193+(2-$G193)*0.5)/6*2,(4+$G193)/6)) *
_xlfn.IFS(AJ$24-$I193 &lt;=1, 5/6, AJ$24-$I193 &lt;=5, (7-(AJ$24-$I193))/6, AND(AJ$24-$I193 =6,NOT(_xlfn.IFNA(ISNUMBER(SEARCH("Rending",$L193)),FALSE))), (7-(AJ$24-$I193))/6, AND(AJ$24-$I193 &gt;=7,NOT(_xlfn.IFNA(ISNUMBER(SEARCH("Rending",$L193)),FALSE))), 0, AJ$24-$I193 =7, (7-(AJ$24-1-$I193))/6, AJ$24-$I193 =8, (7-(AJ$24-2-$I193))/6*2/3, AJ$24-$I193 =9, (7-(AJ$24-3-$I193))/6*1/3, TRUE, 0) *
IF(ISNUMBER(SEARCH("Ordinance",$L193)),7/6,1) *
IF(OR(ISNUMBER(SEARCH("Melee",$L193)),ISNUMBER(SEARCH("Bypass",$L193))),1.5,1)</f>
        <v>0</v>
      </c>
      <c r="AK193" s="17" cm="1">
        <f t="array" ref="AK193">$H193 *
IF(ISNUMBER(SEARCH("Rapid",$L193)),7/6,1) *
IF(OR(ISNUMBER(SEARCH("Beam",$L193)),ISNUMBER(SEARCH("Firestorm",$L193))),1, IF(ISNUMBER(SEARCH("Blast",$L193)),(4+$G193+(2-$G193)*0.5)/6*2,(4+$G193)/6)) *
_xlfn.IFS(AK$24-$I193 &lt;=1, 5/6, AK$24-$I193 &lt;=5, (7-(AK$24-$I193))/6, AND(AK$24-$I193 =6,NOT(_xlfn.IFNA(ISNUMBER(SEARCH("Rending",$L193)),FALSE))), (7-(AK$24-$I193))/6, AND(AK$24-$I193 &gt;=7,NOT(_xlfn.IFNA(ISNUMBER(SEARCH("Rending",$L193)),FALSE))), 0, AK$24-$I193 =7, (7-(AK$24-1-$I193))/6, AK$24-$I193 =8, (7-(AK$24-2-$I193))/6*2/3, AK$24-$I193 =9, (7-(AK$24-3-$I193))/6*1/3, TRUE, 0) *
IF(ISNUMBER(SEARCH("Ordinance",$L193)),7/6,1) *
IF(OR(ISNUMBER(SEARCH("Melee",$L193)),ISNUMBER(SEARCH("Bypass",$L193))),1.5,1)</f>
        <v>0</v>
      </c>
      <c r="AL193" s="17" cm="1">
        <f t="array" ref="AL193">$H193 *
IF(ISNUMBER(SEARCH("Rapid",$L193)),7/6,1) *
IF(OR(ISNUMBER(SEARCH("Beam",$L193)),ISNUMBER(SEARCH("Firestorm",$L193))),1, IF(ISNUMBER(SEARCH("Blast",$L193)),(4+$G193+(2-$G193)*0.5)/6*2,(4+$G193)/6)) *
_xlfn.IFS(AL$24-$I193 &lt;=1, 5/6, AL$24-$I193 &lt;=5, (7-(AL$24-$I193))/6, AND(AL$24-$I193 =6,NOT(_xlfn.IFNA(ISNUMBER(SEARCH("Rending",$L193)),FALSE))), (7-(AL$24-$I193))/6, AND(AL$24-$I193 &gt;=7,NOT(_xlfn.IFNA(ISNUMBER(SEARCH("Rending",$L193)),FALSE))), 0, AL$24-$I193 =7, (7-(AL$24-1-$I193))/6, AL$24-$I193 =8, (7-(AL$24-2-$I193))/6*2/3, AL$24-$I193 =9, (7-(AL$24-3-$I193))/6*1/3, TRUE, 0) *
IF(ISNUMBER(SEARCH("Ordinance",$L193)),7/6,1) *
IF(OR(ISNUMBER(SEARCH("Melee",$L193)),ISNUMBER(SEARCH("Bypass",$L193))),1.5,1)</f>
        <v>0</v>
      </c>
      <c r="AM193" s="17" cm="1">
        <f t="array" ref="AM193">$H193 *
IF(ISNUMBER(SEARCH("Rapid",$L193)),7/6,1) *
IF(OR(ISNUMBER(SEARCH("Beam",$L193)),ISNUMBER(SEARCH("Firestorm",$L193))),1, IF(ISNUMBER(SEARCH("Blast",$L193)),(4+$G193+(2-$G193)*0.5)/6*2,(4+$G193)/6)) *
_xlfn.IFS(AM$24-$I193 &lt;=1, 5/6, AM$24-$I193 &lt;=5, (7-(AM$24-$I193))/6, AND(AM$24-$I193 =6,NOT(_xlfn.IFNA(ISNUMBER(SEARCH("Rending",$L193)),FALSE))), (7-(AM$24-$I193))/6, AND(AM$24-$I193 &gt;=7,NOT(_xlfn.IFNA(ISNUMBER(SEARCH("Rending",$L193)),FALSE))), 0, AM$24-$I193 =7, (7-(AM$24-1-$I193))/6, AM$24-$I193 =8, (7-(AM$24-2-$I193))/6*2/3, AM$24-$I193 =9, (7-(AM$24-3-$I193))/6*1/3, TRUE, 0) *
IF(ISNUMBER(SEARCH("Ordinance",$L193)),7/6,1) *
IF(OR(ISNUMBER(SEARCH("Melee",$L193)),ISNUMBER(SEARCH("Bypass",$L193))),1.5,1)</f>
        <v>0</v>
      </c>
      <c r="AN193" s="17" cm="1">
        <f t="array" ref="AN193">$H193 *
IF(ISNUMBER(SEARCH("Rapid",$L193)),7/6,1) *
IF(OR(ISNUMBER(SEARCH("Beam",$L193)),ISNUMBER(SEARCH("Firestorm",$L193))),1, IF(ISNUMBER(SEARCH("Blast",$L193)),(4+$G193+(2-$G193)*0.5)/6*2,(4+$G193)/6)) *
_xlfn.IFS(AN$24-$I193 &lt;=1, 5/6, AN$24-$I193 &lt;=5, (7-(AN$24-$I193))/6, AND(AN$24-$I193 =6,NOT(_xlfn.IFNA(ISNUMBER(SEARCH("Rending",$L193)),FALSE))), (7-(AN$24-$I193))/6, AND(AN$24-$I193 &gt;=7,NOT(_xlfn.IFNA(ISNUMBER(SEARCH("Rending",$L193)),FALSE))), 0, AN$24-$I193 =7, (7-(AN$24-1-$I193))/6, AN$24-$I193 =8, (7-(AN$24-2-$I193))/6*2/3, AN$24-$I193 =9, (7-(AN$24-3-$I193))/6*1/3, TRUE, 0) *
IF(ISNUMBER(SEARCH("Ordinance",$L193)),7/6,1) *
IF(OR(ISNUMBER(SEARCH("Melee",$L193)),ISNUMBER(SEARCH("Bypass",$L193))),1.5,1)</f>
        <v>0</v>
      </c>
      <c r="AO193" s="17" cm="1">
        <f t="array" ref="AO193">$H193 *
IF(ISNUMBER(SEARCH("Rapid",$L193)),7/6,1) *
IF(OR(ISNUMBER(SEARCH("Beam",$L193)),ISNUMBER(SEARCH("Firestorm",$L193))),1, IF(ISNUMBER(SEARCH("Blast",$L193)),(4+$G193+(2-$G193)*0.5)/6*2,(4+$G193)/6)) *
_xlfn.IFS(AO$24-$I193 &lt;=1, 5/6, AO$24-$I193 &lt;=5, (7-(AO$24-$I193))/6, AND(AO$24-$I193 =6,NOT(_xlfn.IFNA(ISNUMBER(SEARCH("Rending",$L193)),FALSE))), (7-(AO$24-$I193))/6, AND(AO$24-$I193 &gt;=7,NOT(_xlfn.IFNA(ISNUMBER(SEARCH("Rending",$L193)),FALSE))), 0, AO$24-$I193 =7, (7-(AO$24-1-$I193))/6, AO$24-$I193 =8, (7-(AO$24-2-$I193))/6*2/3, AO$24-$I193 =9, (7-(AO$24-3-$I193))/6*1/3, TRUE, 0) *
IF(ISNUMBER(SEARCH("Ordinance",$L193)),7/6,1) *
IF(OR(ISNUMBER(SEARCH("Melee",$L193)),ISNUMBER(SEARCH("Bypass",$L193))),1.5,1)</f>
        <v>0</v>
      </c>
      <c r="AP193" s="17" cm="1">
        <f t="array" ref="AP193">$H193 *
IF(ISNUMBER(SEARCH("Rapid",$L193)),7/6,1) *
IF(OR(ISNUMBER(SEARCH("Beam",$L193)),ISNUMBER(SEARCH("Firestorm",$L193))),1, IF(ISNUMBER(SEARCH("Blast",$L193)),(4+$G193+(2-$G193)*0.5)/6*2,(4+$G193)/6)) *
_xlfn.IFS(AP$24-$I193 &lt;=1, 5/6, AP$24-$I193 &lt;=5, (7-(AP$24-$I193))/6, AND(AP$24-$I193 =6,NOT(_xlfn.IFNA(ISNUMBER(SEARCH("Rending",$L193)),FALSE))), (7-(AP$24-$I193))/6, AND(AP$24-$I193 &gt;=7,NOT(_xlfn.IFNA(ISNUMBER(SEARCH("Rending",$L193)),FALSE))), 0, AP$24-$I193 =7, (7-(AP$24-1-$I193))/6, AP$24-$I193 =8, (7-(AP$24-2-$I193))/6*2/3, AP$24-$I193 =9, (7-(AP$24-3-$I193))/6*1/3, TRUE, 0) *
IF(ISNUMBER(SEARCH("Ordinance",$L193)),7/6,1) *
IF(OR(ISNUMBER(SEARCH("Melee",$L193)),ISNUMBER(SEARCH("Bypass",$L193))),1.5,1)</f>
        <v>0</v>
      </c>
      <c r="AQ193" s="17" cm="1">
        <f t="array" ref="AQ193">$H193 *
IF(ISNUMBER(SEARCH("Rapid",$L193)),7/6,1) *
IF(OR(ISNUMBER(SEARCH("Beam",$L193)),ISNUMBER(SEARCH("Firestorm",$L193))),1, IF(ISNUMBER(SEARCH("Blast",$L193)),(4+$G193+(2-$G193)*0.5)/6*2,(4+$G193)/6)) *
_xlfn.IFS(AQ$24-$I193 &lt;=1, 5/6, AQ$24-$I193 &lt;=5, (7-(AQ$24-$I193))/6, AND(AQ$24-$I193 =6,NOT(_xlfn.IFNA(ISNUMBER(SEARCH("Rending",$L193)),FALSE))), (7-(AQ$24-$I193))/6, AND(AQ$24-$I193 &gt;=7,NOT(_xlfn.IFNA(ISNUMBER(SEARCH("Rending",$L193)),FALSE))), 0, AQ$24-$I193 =7, (7-(AQ$24-1-$I193))/6, AQ$24-$I193 =8, (7-(AQ$24-2-$I193))/6*2/3, AQ$24-$I193 =9, (7-(AQ$24-3-$I193))/6*1/3, TRUE, 0) *
IF(ISNUMBER(SEARCH("Ordinance",$L193)),7/6,1) *
IF(OR(ISNUMBER(SEARCH("Melee",$L193)),ISNUMBER(SEARCH("Bypass",$L193))),1.5,1)</f>
        <v>0</v>
      </c>
    </row>
    <row r="194" spans="1:48" x14ac:dyDescent="0.3">
      <c r="A194" t="s">
        <v>869</v>
      </c>
      <c r="B194" s="3">
        <v>8</v>
      </c>
      <c r="C194" s="3">
        <v>24</v>
      </c>
      <c r="D194" s="3">
        <v>1</v>
      </c>
      <c r="E194" s="3">
        <v>1</v>
      </c>
      <c r="F194" s="10">
        <v>1</v>
      </c>
      <c r="G194" s="10">
        <v>0</v>
      </c>
      <c r="H194" s="3">
        <v>1</v>
      </c>
      <c r="I194" s="3">
        <v>7</v>
      </c>
      <c r="J194" s="3" t="s">
        <v>870</v>
      </c>
      <c r="K194" s="3">
        <v>30</v>
      </c>
      <c r="L194" s="3" t="s">
        <v>266</v>
      </c>
      <c r="M194" s="3" t="s">
        <v>199</v>
      </c>
      <c r="V194" s="16">
        <f t="shared" si="33"/>
        <v>0.27777777777777779</v>
      </c>
      <c r="W194" s="16">
        <f t="shared" si="34"/>
        <v>0.41666666666666669</v>
      </c>
      <c r="X194" s="17" cm="1">
        <f t="array" ref="X194">$H194 *
IF(ISNUMBER(SEARCH("Rapid",$L194)),7/6,1) *
IF(OR(ISNUMBER(SEARCH("Beam",$L194)),ISNUMBER(SEARCH("Firestorm",$L194))),1, IF(ISNUMBER(SEARCH("Blast",$L194)),(4+$F194+(2-$F194)*0.5)/6*2,(4+$F194)/6)) *
IF(ISNUMBER(SEARCH("Fusion",$L194)), _xlfn.IFS(X$24-$I194 &lt;=1, 9/10, X$24-$I194 &lt;=10,(11-(X$24-$I194))/10, X$24-$I194 &gt;=11, 0),
_xlfn.IFS(X$24-$I194 &lt;=1, 5/6, X$24-$I194 &lt;=5, (7-(X$24-$I194))/6, AND(X$24-$I194 =6,NOT(_xlfn.IFNA(ISNUMBER(SEARCH("Rending",$L194)),FALSE))), (7-(X$24-$I194))/6, AND(X$24-$I194 &gt;=7,NOT(_xlfn.IFNA(ISNUMBER(SEARCH("Rending",$L194)),FALSE))), 0, X$24-$I194 =7, (7-(X$24-1-$I194))/6, X$24-$I194 =8, (7-(X$24-2-$I194))/6*2/3, X$24-$I194 =9, (7-(X$24-3-$I194))/6*1/3, TRUE, 0)) *
IF(ISNUMBER(SEARCH("Ordinance",$L194)),7/6,1) *
IF(OR(ISNUMBER(SEARCH("Melee",$L194)),ISNUMBER(SEARCH("Bypass",$L194))),1.5,1)</f>
        <v>0.81018518518518534</v>
      </c>
      <c r="Y194" s="17" cm="1">
        <f t="array" ref="Y194">$H194 *
IF(ISNUMBER(SEARCH("Rapid",$L194)),7/6,1) *
IF(OR(ISNUMBER(SEARCH("Beam",$L194)),ISNUMBER(SEARCH("Firestorm",$L194))),1, IF(ISNUMBER(SEARCH("Blast",$L194)),(4+$F194+(2-$F194)*0.5)/6*2,(4+$F194)/6)) *
IF(ISNUMBER(SEARCH("Fusion",$L194)), _xlfn.IFS(Y$24-$I194 &lt;=1, 9/10, Y$24-$I194 &lt;=10,(11-(Y$24-$I194))/10, Y$24-$I194 &gt;=11, 0),
_xlfn.IFS(Y$24-$I194 &lt;=1, 5/6, Y$24-$I194 &lt;=5, (7-(Y$24-$I194))/6, AND(Y$24-$I194 =6,NOT(_xlfn.IFNA(ISNUMBER(SEARCH("Rending",$L194)),FALSE))), (7-(Y$24-$I194))/6, AND(Y$24-$I194 &gt;=7,NOT(_xlfn.IFNA(ISNUMBER(SEARCH("Rending",$L194)),FALSE))), 0, Y$24-$I194 =7, (7-(Y$24-1-$I194))/6, Y$24-$I194 =8, (7-(Y$24-2-$I194))/6*2/3, Y$24-$I194 =9, (7-(Y$24-3-$I194))/6*1/3, TRUE, 0)) *
IF(ISNUMBER(SEARCH("Ordinance",$L194)),7/6,1) *
IF(OR(ISNUMBER(SEARCH("Melee",$L194)),ISNUMBER(SEARCH("Bypass",$L194))),1.5,1)</f>
        <v>0.64814814814814825</v>
      </c>
      <c r="Z194" s="17" cm="1">
        <f t="array" ref="Z194">$H194 *
IF(ISNUMBER(SEARCH("Rapid",$L194)),7/6,1) *
IF(OR(ISNUMBER(SEARCH("Beam",$L194)),ISNUMBER(SEARCH("Firestorm",$L194))),1, IF(ISNUMBER(SEARCH("Blast",$L194)),(4+$F194+(2-$F194)*0.5)/6*2,(4+$F194)/6)) *
IF(ISNUMBER(SEARCH("Fusion",$L194)), _xlfn.IFS(Z$24-$I194 &lt;=1, 9/10, Z$24-$I194 &lt;=10,(11-(Z$24-$I194))/10, Z$24-$I194 &gt;=11, 0),
_xlfn.IFS(Z$24-$I194 &lt;=1, 5/6, Z$24-$I194 &lt;=5, (7-(Z$24-$I194))/6, AND(Z$24-$I194 =6,NOT(_xlfn.IFNA(ISNUMBER(SEARCH("Rending",$L194)),FALSE))), (7-(Z$24-$I194))/6, AND(Z$24-$I194 &gt;=7,NOT(_xlfn.IFNA(ISNUMBER(SEARCH("Rending",$L194)),FALSE))), 0, Z$24-$I194 =7, (7-(Z$24-1-$I194))/6, Z$24-$I194 =8, (7-(Z$24-2-$I194))/6*2/3, Z$24-$I194 =9, (7-(Z$24-3-$I194))/6*1/3, TRUE, 0)) *
IF(ISNUMBER(SEARCH("Ordinance",$L194)),7/6,1) *
IF(OR(ISNUMBER(SEARCH("Melee",$L194)),ISNUMBER(SEARCH("Bypass",$L194))),1.5,1)</f>
        <v>0.48611111111111116</v>
      </c>
      <c r="AA194" s="17" cm="1">
        <f t="array" ref="AA194">$H194 *
IF(ISNUMBER(SEARCH("Rapid",$L194)),7/6,1) *
IF(OR(ISNUMBER(SEARCH("Beam",$L194)),ISNUMBER(SEARCH("Firestorm",$L194))),1, IF(ISNUMBER(SEARCH("Blast",$L194)),(4+$F194+(2-$F194)*0.5)/6*2,(4+$F194)/6)) *
IF(ISNUMBER(SEARCH("Fusion",$L194)), _xlfn.IFS(AA$24-$I194 &lt;=1, 9/10, AA$24-$I194 &lt;=10,(11-(AA$24-$I194))/10, AA$24-$I194 &gt;=11, 0),
_xlfn.IFS(AA$24-$I194 &lt;=1, 5/6, AA$24-$I194 &lt;=5, (7-(AA$24-$I194))/6, AND(AA$24-$I194 =6,NOT(_xlfn.IFNA(ISNUMBER(SEARCH("Rending",$L194)),FALSE))), (7-(AA$24-$I194))/6, AND(AA$24-$I194 &gt;=7,NOT(_xlfn.IFNA(ISNUMBER(SEARCH("Rending",$L194)),FALSE))), 0, AA$24-$I194 =7, (7-(AA$24-1-$I194))/6, AA$24-$I194 =8, (7-(AA$24-2-$I194))/6*2/3, AA$24-$I194 =9, (7-(AA$24-3-$I194))/6*1/3, TRUE, 0)) *
IF(ISNUMBER(SEARCH("Ordinance",$L194)),7/6,1) *
IF(OR(ISNUMBER(SEARCH("Melee",$L194)),ISNUMBER(SEARCH("Bypass",$L194))),1.5,1)</f>
        <v>0.32407407407407413</v>
      </c>
      <c r="AB194" s="17" cm="1">
        <f t="array" ref="AB194">$H194 *
IF(ISNUMBER(SEARCH("Rapid",$L194)),7/6,1) *
IF(OR(ISNUMBER(SEARCH("Beam",$L194)),ISNUMBER(SEARCH("Firestorm",$L194))),1, IF(ISNUMBER(SEARCH("Blast",$L194)),(4+$F194+(2-$F194)*0.5)/6*2,(4+$F194)/6)) *
IF(ISNUMBER(SEARCH("Fusion",$L194)), _xlfn.IFS(AB$24-$I194 &lt;=1, 9/10, AB$24-$I194 &lt;=10,(11-(AB$24-$I194))/10, AB$24-$I194 &gt;=11, 0),
_xlfn.IFS(AB$24-$I194 &lt;=1, 5/6, AB$24-$I194 &lt;=5, (7-(AB$24-$I194))/6, AND(AB$24-$I194 =6,NOT(_xlfn.IFNA(ISNUMBER(SEARCH("Rending",$L194)),FALSE))), (7-(AB$24-$I194))/6, AND(AB$24-$I194 &gt;=7,NOT(_xlfn.IFNA(ISNUMBER(SEARCH("Rending",$L194)),FALSE))), 0, AB$24-$I194 =7, (7-(AB$24-1-$I194))/6, AB$24-$I194 =8, (7-(AB$24-2-$I194))/6*2/3, AB$24-$I194 =9, (7-(AB$24-3-$I194))/6*1/3, TRUE, 0)) *
IF(ISNUMBER(SEARCH("Ordinance",$L194)),7/6,1) *
IF(OR(ISNUMBER(SEARCH("Melee",$L194)),ISNUMBER(SEARCH("Bypass",$L194))),1.5,1)</f>
        <v>0.16203703703703706</v>
      </c>
      <c r="AC194" s="17" cm="1">
        <f t="array" ref="AC194">$H194 *
IF(ISNUMBER(SEARCH("Rapid",$L194)),7/6,1) *
IF(OR(ISNUMBER(SEARCH("Beam",$L194)),ISNUMBER(SEARCH("Firestorm",$L194))),1, IF(ISNUMBER(SEARCH("Blast",$L194)),(4+$F194+(2-$F194)*0.5)/6*2,(4+$F194)/6)) *
IF(ISNUMBER(SEARCH("Fusion",$L194)), _xlfn.IFS(AC$24-$I194 &lt;=1, 9/10, AC$24-$I194 &lt;=10,(11-(AC$24-$I194))/10, AC$24-$I194 &gt;=11, 0),
_xlfn.IFS(AC$24-$I194 &lt;=1, 5/6, AC$24-$I194 &lt;=5, (7-(AC$24-$I194))/6, AND(AC$24-$I194 =6,NOT(_xlfn.IFNA(ISNUMBER(SEARCH("Rending",$L194)),FALSE))), (7-(AC$24-$I194))/6, AND(AC$24-$I194 &gt;=7,NOT(_xlfn.IFNA(ISNUMBER(SEARCH("Rending",$L194)),FALSE))), 0, AC$24-$I194 =7, (7-(AC$24-1-$I194))/6, AC$24-$I194 =8, (7-(AC$24-2-$I194))/6*2/3, AC$24-$I194 =9, (7-(AC$24-3-$I194))/6*1/3, TRUE, 0)) *
IF(ISNUMBER(SEARCH("Ordinance",$L194)),7/6,1) *
IF(OR(ISNUMBER(SEARCH("Melee",$L194)),ISNUMBER(SEARCH("Bypass",$L194))),1.5,1)</f>
        <v>0</v>
      </c>
      <c r="AD194" s="17" cm="1">
        <f t="array" ref="AD194">$H194 *
IF(ISNUMBER(SEARCH("Rapid",$L194)),7/6,1) *
IF(OR(ISNUMBER(SEARCH("Beam",$L194)),ISNUMBER(SEARCH("Firestorm",$L194))),1, IF(ISNUMBER(SEARCH("Blast",$L194)),(4+$F194+(2-$F194)*0.5)/6*2,(4+$F194)/6)) *
IF(ISNUMBER(SEARCH("Fusion",$L194)), _xlfn.IFS(AD$24-$I194 &lt;=1, 9/10, AD$24-$I194 &lt;=10,(11-(AD$24-$I194))/10, AD$24-$I194 &gt;=11, 0),
_xlfn.IFS(AD$24-$I194 &lt;=1, 5/6, AD$24-$I194 &lt;=5, (7-(AD$24-$I194))/6, AND(AD$24-$I194 =6,NOT(_xlfn.IFNA(ISNUMBER(SEARCH("Rending",$L194)),FALSE))), (7-(AD$24-$I194))/6, AND(AD$24-$I194 &gt;=7,NOT(_xlfn.IFNA(ISNUMBER(SEARCH("Rending",$L194)),FALSE))), 0, AD$24-$I194 =7, (7-(AD$24-1-$I194))/6, AD$24-$I194 =8, (7-(AD$24-2-$I194))/6*2/3, AD$24-$I194 =9, (7-(AD$24-3-$I194))/6*1/3, TRUE, 0)) *
IF(ISNUMBER(SEARCH("Ordinance",$L194)),7/6,1) *
IF(OR(ISNUMBER(SEARCH("Melee",$L194)),ISNUMBER(SEARCH("Bypass",$L194))),1.5,1)</f>
        <v>0</v>
      </c>
      <c r="AE194" s="17" cm="1">
        <f t="array" ref="AE194">$H194 *
IF(ISNUMBER(SEARCH("Rapid",$L194)),7/6,1) *
IF(OR(ISNUMBER(SEARCH("Beam",$L194)),ISNUMBER(SEARCH("Firestorm",$L194))),1, IF(ISNUMBER(SEARCH("Blast",$L194)),(4+$F194+(2-$F194)*0.5)/6*2,(4+$F194)/6)) *
IF(ISNUMBER(SEARCH("Fusion",$L194)), _xlfn.IFS(AE$24-$I194 &lt;=1, 9/10, AE$24-$I194 &lt;=10,(11-(AE$24-$I194))/10, AE$24-$I194 &gt;=11, 0),
_xlfn.IFS(AE$24-$I194 &lt;=1, 5/6, AE$24-$I194 &lt;=5, (7-(AE$24-$I194))/6, AND(AE$24-$I194 =6,NOT(_xlfn.IFNA(ISNUMBER(SEARCH("Rending",$L194)),FALSE))), (7-(AE$24-$I194))/6, AND(AE$24-$I194 &gt;=7,NOT(_xlfn.IFNA(ISNUMBER(SEARCH("Rending",$L194)),FALSE))), 0, AE$24-$I194 =7, (7-(AE$24-1-$I194))/6, AE$24-$I194 =8, (7-(AE$24-2-$I194))/6*2/3, AE$24-$I194 =9, (7-(AE$24-3-$I194))/6*1/3, TRUE, 0)) *
IF(ISNUMBER(SEARCH("Ordinance",$L194)),7/6,1) *
IF(OR(ISNUMBER(SEARCH("Melee",$L194)),ISNUMBER(SEARCH("Bypass",$L194))),1.5,1)</f>
        <v>0</v>
      </c>
      <c r="AF194" s="17" cm="1">
        <f t="array" ref="AF194">$H194 *
IF(ISNUMBER(SEARCH("Rapid",$L194)),7/6,1) *
IF(OR(ISNUMBER(SEARCH("Beam",$L194)),ISNUMBER(SEARCH("Firestorm",$L194))),1, IF(ISNUMBER(SEARCH("Blast",$L194)),(4+$F194+(2-$F194)*0.5)/6*2,(4+$F194)/6)) *
IF(ISNUMBER(SEARCH("Fusion",$L194)), _xlfn.IFS(AF$24-$I194 &lt;=1, 9/10, AF$24-$I194 &lt;=10,(11-(AF$24-$I194))/10, AF$24-$I194 &gt;=11, 0),
_xlfn.IFS(AF$24-$I194 &lt;=1, 5/6, AF$24-$I194 &lt;=5, (7-(AF$24-$I194))/6, AND(AF$24-$I194 =6,NOT(_xlfn.IFNA(ISNUMBER(SEARCH("Rending",$L194)),FALSE))), (7-(AF$24-$I194))/6, AND(AF$24-$I194 &gt;=7,NOT(_xlfn.IFNA(ISNUMBER(SEARCH("Rending",$L194)),FALSE))), 0, AF$24-$I194 =7, (7-(AF$24-1-$I194))/6, AF$24-$I194 =8, (7-(AF$24-2-$I194))/6*2/3, AF$24-$I194 =9, (7-(AF$24-3-$I194))/6*1/3, TRUE, 0)) *
IF(ISNUMBER(SEARCH("Ordinance",$L194)),7/6,1) *
IF(OR(ISNUMBER(SEARCH("Melee",$L194)),ISNUMBER(SEARCH("Bypass",$L194))),1.5,1)</f>
        <v>0</v>
      </c>
      <c r="AG194" s="16">
        <f t="shared" si="35"/>
        <v>0.22222222222222221</v>
      </c>
      <c r="AH194" s="16">
        <f t="shared" si="36"/>
        <v>0.33333333333333331</v>
      </c>
      <c r="AI194" s="17" cm="1">
        <f t="array" ref="AI194">$H194 *
IF(ISNUMBER(SEARCH("Rapid",$L194)),7/6,1) *
IF(OR(ISNUMBER(SEARCH("Beam",$L194)),ISNUMBER(SEARCH("Firestorm",$L194))),1, IF(ISNUMBER(SEARCH("Blast",$L194)),(4+$G194+(2-$G194)*0.5)/6*2,(4+$G194)/6)) *
_xlfn.IFS(AI$24-$I194 &lt;=1, 5/6, AI$24-$I194 &lt;=5, (7-(AI$24-$I194))/6, AND(AI$24-$I194 =6,NOT(_xlfn.IFNA(ISNUMBER(SEARCH("Rending",$L194)),FALSE))), (7-(AI$24-$I194))/6, AND(AI$24-$I194 &gt;=7,NOT(_xlfn.IFNA(ISNUMBER(SEARCH("Rending",$L194)),FALSE))), 0, AI$24-$I194 =7, (7-(AI$24-1-$I194))/6, AI$24-$I194 =8, (7-(AI$24-2-$I194))/6*2/3, AI$24-$I194 =9, (7-(AI$24-3-$I194))/6*1/3, TRUE, 0) *
IF(ISNUMBER(SEARCH("Ordinance",$L194)),7/6,1) *
IF(OR(ISNUMBER(SEARCH("Melee",$L194)),ISNUMBER(SEARCH("Bypass",$L194))),1.5,1)</f>
        <v>0.64814814814814825</v>
      </c>
      <c r="AJ194" s="17" cm="1">
        <f t="array" ref="AJ194">$H194 *
IF(ISNUMBER(SEARCH("Rapid",$L194)),7/6,1) *
IF(OR(ISNUMBER(SEARCH("Beam",$L194)),ISNUMBER(SEARCH("Firestorm",$L194))),1, IF(ISNUMBER(SEARCH("Blast",$L194)),(4+$G194+(2-$G194)*0.5)/6*2,(4+$G194)/6)) *
_xlfn.IFS(AJ$24-$I194 &lt;=1, 5/6, AJ$24-$I194 &lt;=5, (7-(AJ$24-$I194))/6, AND(AJ$24-$I194 =6,NOT(_xlfn.IFNA(ISNUMBER(SEARCH("Rending",$L194)),FALSE))), (7-(AJ$24-$I194))/6, AND(AJ$24-$I194 &gt;=7,NOT(_xlfn.IFNA(ISNUMBER(SEARCH("Rending",$L194)),FALSE))), 0, AJ$24-$I194 =7, (7-(AJ$24-1-$I194))/6, AJ$24-$I194 =8, (7-(AJ$24-2-$I194))/6*2/3, AJ$24-$I194 =9, (7-(AJ$24-3-$I194))/6*1/3, TRUE, 0) *
IF(ISNUMBER(SEARCH("Ordinance",$L194)),7/6,1) *
IF(OR(ISNUMBER(SEARCH("Melee",$L194)),ISNUMBER(SEARCH("Bypass",$L194))),1.5,1)</f>
        <v>0.51851851851851849</v>
      </c>
      <c r="AK194" s="17" cm="1">
        <f t="array" ref="AK194">$H194 *
IF(ISNUMBER(SEARCH("Rapid",$L194)),7/6,1) *
IF(OR(ISNUMBER(SEARCH("Beam",$L194)),ISNUMBER(SEARCH("Firestorm",$L194))),1, IF(ISNUMBER(SEARCH("Blast",$L194)),(4+$G194+(2-$G194)*0.5)/6*2,(4+$G194)/6)) *
_xlfn.IFS(AK$24-$I194 &lt;=1, 5/6, AK$24-$I194 &lt;=5, (7-(AK$24-$I194))/6, AND(AK$24-$I194 =6,NOT(_xlfn.IFNA(ISNUMBER(SEARCH("Rending",$L194)),FALSE))), (7-(AK$24-$I194))/6, AND(AK$24-$I194 &gt;=7,NOT(_xlfn.IFNA(ISNUMBER(SEARCH("Rending",$L194)),FALSE))), 0, AK$24-$I194 =7, (7-(AK$24-1-$I194))/6, AK$24-$I194 =8, (7-(AK$24-2-$I194))/6*2/3, AK$24-$I194 =9, (7-(AK$24-3-$I194))/6*1/3, TRUE, 0) *
IF(ISNUMBER(SEARCH("Ordinance",$L194)),7/6,1) *
IF(OR(ISNUMBER(SEARCH("Melee",$L194)),ISNUMBER(SEARCH("Bypass",$L194))),1.5,1)</f>
        <v>0.3888888888888889</v>
      </c>
      <c r="AL194" s="17" cm="1">
        <f t="array" ref="AL194">$H194 *
IF(ISNUMBER(SEARCH("Rapid",$L194)),7/6,1) *
IF(OR(ISNUMBER(SEARCH("Beam",$L194)),ISNUMBER(SEARCH("Firestorm",$L194))),1, IF(ISNUMBER(SEARCH("Blast",$L194)),(4+$G194+(2-$G194)*0.5)/6*2,(4+$G194)/6)) *
_xlfn.IFS(AL$24-$I194 &lt;=1, 5/6, AL$24-$I194 &lt;=5, (7-(AL$24-$I194))/6, AND(AL$24-$I194 =6,NOT(_xlfn.IFNA(ISNUMBER(SEARCH("Rending",$L194)),FALSE))), (7-(AL$24-$I194))/6, AND(AL$24-$I194 &gt;=7,NOT(_xlfn.IFNA(ISNUMBER(SEARCH("Rending",$L194)),FALSE))), 0, AL$24-$I194 =7, (7-(AL$24-1-$I194))/6, AL$24-$I194 =8, (7-(AL$24-2-$I194))/6*2/3, AL$24-$I194 =9, (7-(AL$24-3-$I194))/6*1/3, TRUE, 0) *
IF(ISNUMBER(SEARCH("Ordinance",$L194)),7/6,1) *
IF(OR(ISNUMBER(SEARCH("Melee",$L194)),ISNUMBER(SEARCH("Bypass",$L194))),1.5,1)</f>
        <v>0.25925925925925924</v>
      </c>
      <c r="AM194" s="17" cm="1">
        <f t="array" ref="AM194">$H194 *
IF(ISNUMBER(SEARCH("Rapid",$L194)),7/6,1) *
IF(OR(ISNUMBER(SEARCH("Beam",$L194)),ISNUMBER(SEARCH("Firestorm",$L194))),1, IF(ISNUMBER(SEARCH("Blast",$L194)),(4+$G194+(2-$G194)*0.5)/6*2,(4+$G194)/6)) *
_xlfn.IFS(AM$24-$I194 &lt;=1, 5/6, AM$24-$I194 &lt;=5, (7-(AM$24-$I194))/6, AND(AM$24-$I194 =6,NOT(_xlfn.IFNA(ISNUMBER(SEARCH("Rending",$L194)),FALSE))), (7-(AM$24-$I194))/6, AND(AM$24-$I194 &gt;=7,NOT(_xlfn.IFNA(ISNUMBER(SEARCH("Rending",$L194)),FALSE))), 0, AM$24-$I194 =7, (7-(AM$24-1-$I194))/6, AM$24-$I194 =8, (7-(AM$24-2-$I194))/6*2/3, AM$24-$I194 =9, (7-(AM$24-3-$I194))/6*1/3, TRUE, 0) *
IF(ISNUMBER(SEARCH("Ordinance",$L194)),7/6,1) *
IF(OR(ISNUMBER(SEARCH("Melee",$L194)),ISNUMBER(SEARCH("Bypass",$L194))),1.5,1)</f>
        <v>0.12962962962962962</v>
      </c>
      <c r="AN194" s="17" cm="1">
        <f t="array" ref="AN194">$H194 *
IF(ISNUMBER(SEARCH("Rapid",$L194)),7/6,1) *
IF(OR(ISNUMBER(SEARCH("Beam",$L194)),ISNUMBER(SEARCH("Firestorm",$L194))),1, IF(ISNUMBER(SEARCH("Blast",$L194)),(4+$G194+(2-$G194)*0.5)/6*2,(4+$G194)/6)) *
_xlfn.IFS(AN$24-$I194 &lt;=1, 5/6, AN$24-$I194 &lt;=5, (7-(AN$24-$I194))/6, AND(AN$24-$I194 =6,NOT(_xlfn.IFNA(ISNUMBER(SEARCH("Rending",$L194)),FALSE))), (7-(AN$24-$I194))/6, AND(AN$24-$I194 &gt;=7,NOT(_xlfn.IFNA(ISNUMBER(SEARCH("Rending",$L194)),FALSE))), 0, AN$24-$I194 =7, (7-(AN$24-1-$I194))/6, AN$24-$I194 =8, (7-(AN$24-2-$I194))/6*2/3, AN$24-$I194 =9, (7-(AN$24-3-$I194))/6*1/3, TRUE, 0) *
IF(ISNUMBER(SEARCH("Ordinance",$L194)),7/6,1) *
IF(OR(ISNUMBER(SEARCH("Melee",$L194)),ISNUMBER(SEARCH("Bypass",$L194))),1.5,1)</f>
        <v>0</v>
      </c>
      <c r="AO194" s="17" cm="1">
        <f t="array" ref="AO194">$H194 *
IF(ISNUMBER(SEARCH("Rapid",$L194)),7/6,1) *
IF(OR(ISNUMBER(SEARCH("Beam",$L194)),ISNUMBER(SEARCH("Firestorm",$L194))),1, IF(ISNUMBER(SEARCH("Blast",$L194)),(4+$G194+(2-$G194)*0.5)/6*2,(4+$G194)/6)) *
_xlfn.IFS(AO$24-$I194 &lt;=1, 5/6, AO$24-$I194 &lt;=5, (7-(AO$24-$I194))/6, AND(AO$24-$I194 =6,NOT(_xlfn.IFNA(ISNUMBER(SEARCH("Rending",$L194)),FALSE))), (7-(AO$24-$I194))/6, AND(AO$24-$I194 &gt;=7,NOT(_xlfn.IFNA(ISNUMBER(SEARCH("Rending",$L194)),FALSE))), 0, AO$24-$I194 =7, (7-(AO$24-1-$I194))/6, AO$24-$I194 =8, (7-(AO$24-2-$I194))/6*2/3, AO$24-$I194 =9, (7-(AO$24-3-$I194))/6*1/3, TRUE, 0) *
IF(ISNUMBER(SEARCH("Ordinance",$L194)),7/6,1) *
IF(OR(ISNUMBER(SEARCH("Melee",$L194)),ISNUMBER(SEARCH("Bypass",$L194))),1.5,1)</f>
        <v>0</v>
      </c>
      <c r="AP194" s="17" cm="1">
        <f t="array" ref="AP194">$H194 *
IF(ISNUMBER(SEARCH("Rapid",$L194)),7/6,1) *
IF(OR(ISNUMBER(SEARCH("Beam",$L194)),ISNUMBER(SEARCH("Firestorm",$L194))),1, IF(ISNUMBER(SEARCH("Blast",$L194)),(4+$G194+(2-$G194)*0.5)/6*2,(4+$G194)/6)) *
_xlfn.IFS(AP$24-$I194 &lt;=1, 5/6, AP$24-$I194 &lt;=5, (7-(AP$24-$I194))/6, AND(AP$24-$I194 =6,NOT(_xlfn.IFNA(ISNUMBER(SEARCH("Rending",$L194)),FALSE))), (7-(AP$24-$I194))/6, AND(AP$24-$I194 &gt;=7,NOT(_xlfn.IFNA(ISNUMBER(SEARCH("Rending",$L194)),FALSE))), 0, AP$24-$I194 =7, (7-(AP$24-1-$I194))/6, AP$24-$I194 =8, (7-(AP$24-2-$I194))/6*2/3, AP$24-$I194 =9, (7-(AP$24-3-$I194))/6*1/3, TRUE, 0) *
IF(ISNUMBER(SEARCH("Ordinance",$L194)),7/6,1) *
IF(OR(ISNUMBER(SEARCH("Melee",$L194)),ISNUMBER(SEARCH("Bypass",$L194))),1.5,1)</f>
        <v>0</v>
      </c>
      <c r="AQ194" s="17" cm="1">
        <f t="array" ref="AQ194">$H194 *
IF(ISNUMBER(SEARCH("Rapid",$L194)),7/6,1) *
IF(OR(ISNUMBER(SEARCH("Beam",$L194)),ISNUMBER(SEARCH("Firestorm",$L194))),1, IF(ISNUMBER(SEARCH("Blast",$L194)),(4+$G194+(2-$G194)*0.5)/6*2,(4+$G194)/6)) *
_xlfn.IFS(AQ$24-$I194 &lt;=1, 5/6, AQ$24-$I194 &lt;=5, (7-(AQ$24-$I194))/6, AND(AQ$24-$I194 =6,NOT(_xlfn.IFNA(ISNUMBER(SEARCH("Rending",$L194)),FALSE))), (7-(AQ$24-$I194))/6, AND(AQ$24-$I194 &gt;=7,NOT(_xlfn.IFNA(ISNUMBER(SEARCH("Rending",$L194)),FALSE))), 0, AQ$24-$I194 =7, (7-(AQ$24-1-$I194))/6, AQ$24-$I194 =8, (7-(AQ$24-2-$I194))/6*2/3, AQ$24-$I194 =9, (7-(AQ$24-3-$I194))/6*1/3, TRUE, 0) *
IF(ISNUMBER(SEARCH("Ordinance",$L194)),7/6,1) *
IF(OR(ISNUMBER(SEARCH("Melee",$L194)),ISNUMBER(SEARCH("Bypass",$L194))),1.5,1)</f>
        <v>0</v>
      </c>
      <c r="AS194" s="16">
        <f t="shared" ref="AS194" si="48">IF($E194=1,AG194*3,IF($E194=2,2*AG194,1.1*AG194))/3</f>
        <v>0.22222222222222221</v>
      </c>
      <c r="AT194" s="16">
        <f t="shared" ref="AT194" si="49">IF($E194=1,AH194*3,IF($E194=2,2*AH194,1.1*AH194))/3</f>
        <v>0.33333333333333331</v>
      </c>
      <c r="AU194" s="16">
        <f t="shared" ref="AU194" si="50">IF(D194+E194=3,
 IF(E194=3, 2.5*AI194,
  IF(E194=2, 1.8*AI194+0.7*X194,
   IF(E194=1, 0.95*AI194+1.55*X194,
    2.5*X194))),
 IF(D194+E194=2,
  IF(E194=2, 1.55*AI194,
   IF(E194 =1, 0.85*AI194+0.7*X194,
    1.55*X194)),
  IF(E194=1, 0.95*AI194,
   0.7*X194))
)/3</f>
        <v>0.37268518518518529</v>
      </c>
      <c r="AV194" s="2">
        <v>9</v>
      </c>
    </row>
    <row r="195" spans="1:48" x14ac:dyDescent="0.3">
      <c r="F195" s="10"/>
      <c r="G195" s="10"/>
      <c r="V195" s="16">
        <f t="shared" ref="V195:V205" si="51">IF(OR(ISNUMBER(SEARCH("Melee",$L195)),ISNUMBER(SEARCH("Bypass",$L195))),0, (($H195 *IF(ISNUMBER(SEARCH("Rapid",$L195)),7/6,1)*IF(OR(ISNUMBER(SEARCH("Beam",$L195)),ISNUMBER(SEARCH("Firestorm",$L195))),1, IF(ISNUMBER(SEARCH("Blast",$L195)),(4+$F195+(2-$F195)*0.5)/6*2,(4+$F195)/6)))+IF(ISNUMBER(SEARCH("Voidbreaker", $L195)),1.89,0)) *IF(ISNUMBER(SEARCH("Shieldbane", $L195)),3/6,2/6))</f>
        <v>0</v>
      </c>
      <c r="W195" s="16">
        <f t="shared" ref="W195:W205" si="52">IF(OR(ISNUMBER(SEARCH("Melee",$L195)),ISNUMBER(SEARCH("Bypass",$L195))),0, (($H195 *IF(ISNUMBER(SEARCH("Rapid",$L195)),7/6,1)*IF(OR(ISNUMBER(SEARCH("Beam",$L195)),ISNUMBER(SEARCH("Firestorm",$L195))),1, IF(ISNUMBER(SEARCH("Blast",$L195)),(4+$F195+(2-$F195)*0.5)/6*2,(4+$F195)/6)))+IF(ISNUMBER(SEARCH("Voidbreaker", $L195)),1.89,0)) *IF(ISNUMBER(SEARCH("Shieldbane", $L195)),4/6,3/6))</f>
        <v>0</v>
      </c>
      <c r="X195" s="17" cm="1">
        <f t="array" ref="X195">$H195 *
IF(ISNUMBER(SEARCH("Rapid",$L195)),7/6,1) *
IF(OR(ISNUMBER(SEARCH("Beam",$L195)),ISNUMBER(SEARCH("Firestorm",$L195))),1, IF(ISNUMBER(SEARCH("Blast",$L195)),(4+$F195+(2-$F195)*0.5)/6*2,(4+$F195)/6)) *
IF(ISNUMBER(SEARCH("Fusion",$L195)), _xlfn.IFS(X$24-$I195 &lt;=1, 9/10, X$24-$I195 &lt;=10,(11-(X$24-$I195))/10, X$24-$I195 &gt;=11, 0),
_xlfn.IFS(X$24-$I195 &lt;=1, 5/6, X$24-$I195 &lt;=5, (7-(X$24-$I195))/6, AND(X$24-$I195 =6,NOT(_xlfn.IFNA(ISNUMBER(SEARCH("Rending",$L195)),FALSE))), (7-(X$24-$I195))/6, AND(X$24-$I195 &gt;=7,NOT(_xlfn.IFNA(ISNUMBER(SEARCH("Rending",$L195)),FALSE))), 0, X$24-$I195 =7, (7-(X$24-1-$I195))/6, X$24-$I195 =8, (7-(X$24-2-$I195))/6*2/3, X$24-$I195 =9, (7-(X$24-3-$I195))/6*1/3, TRUE, 0)) *
IF(ISNUMBER(SEARCH("Ordinance",$L195)),7/6,1) *
IF(OR(ISNUMBER(SEARCH("Melee",$L195)),ISNUMBER(SEARCH("Bypass",$L195))),1.5,1)</f>
        <v>0</v>
      </c>
      <c r="Y195" s="17" cm="1">
        <f t="array" ref="Y195">$H195 *
IF(ISNUMBER(SEARCH("Rapid",$L195)),7/6,1) *
IF(OR(ISNUMBER(SEARCH("Beam",$L195)),ISNUMBER(SEARCH("Firestorm",$L195))),1, IF(ISNUMBER(SEARCH("Blast",$L195)),(4+$F195+(2-$F195)*0.5)/6*2,(4+$F195)/6)) *
IF(ISNUMBER(SEARCH("Fusion",$L195)), _xlfn.IFS(Y$24-$I195 &lt;=1, 9/10, Y$24-$I195 &lt;=10,(11-(Y$24-$I195))/10, Y$24-$I195 &gt;=11, 0),
_xlfn.IFS(Y$24-$I195 &lt;=1, 5/6, Y$24-$I195 &lt;=5, (7-(Y$24-$I195))/6, AND(Y$24-$I195 =6,NOT(_xlfn.IFNA(ISNUMBER(SEARCH("Rending",$L195)),FALSE))), (7-(Y$24-$I195))/6, AND(Y$24-$I195 &gt;=7,NOT(_xlfn.IFNA(ISNUMBER(SEARCH("Rending",$L195)),FALSE))), 0, Y$24-$I195 =7, (7-(Y$24-1-$I195))/6, Y$24-$I195 =8, (7-(Y$24-2-$I195))/6*2/3, Y$24-$I195 =9, (7-(Y$24-3-$I195))/6*1/3, TRUE, 0)) *
IF(ISNUMBER(SEARCH("Ordinance",$L195)),7/6,1) *
IF(OR(ISNUMBER(SEARCH("Melee",$L195)),ISNUMBER(SEARCH("Bypass",$L195))),1.5,1)</f>
        <v>0</v>
      </c>
      <c r="Z195" s="17" cm="1">
        <f t="array" ref="Z195">$H195 *
IF(ISNUMBER(SEARCH("Rapid",$L195)),7/6,1) *
IF(OR(ISNUMBER(SEARCH("Beam",$L195)),ISNUMBER(SEARCH("Firestorm",$L195))),1, IF(ISNUMBER(SEARCH("Blast",$L195)),(4+$F195+(2-$F195)*0.5)/6*2,(4+$F195)/6)) *
IF(ISNUMBER(SEARCH("Fusion",$L195)), _xlfn.IFS(Z$24-$I195 &lt;=1, 9/10, Z$24-$I195 &lt;=10,(11-(Z$24-$I195))/10, Z$24-$I195 &gt;=11, 0),
_xlfn.IFS(Z$24-$I195 &lt;=1, 5/6, Z$24-$I195 &lt;=5, (7-(Z$24-$I195))/6, AND(Z$24-$I195 =6,NOT(_xlfn.IFNA(ISNUMBER(SEARCH("Rending",$L195)),FALSE))), (7-(Z$24-$I195))/6, AND(Z$24-$I195 &gt;=7,NOT(_xlfn.IFNA(ISNUMBER(SEARCH("Rending",$L195)),FALSE))), 0, Z$24-$I195 =7, (7-(Z$24-1-$I195))/6, Z$24-$I195 =8, (7-(Z$24-2-$I195))/6*2/3, Z$24-$I195 =9, (7-(Z$24-3-$I195))/6*1/3, TRUE, 0)) *
IF(ISNUMBER(SEARCH("Ordinance",$L195)),7/6,1) *
IF(OR(ISNUMBER(SEARCH("Melee",$L195)),ISNUMBER(SEARCH("Bypass",$L195))),1.5,1)</f>
        <v>0</v>
      </c>
      <c r="AA195" s="17" cm="1">
        <f t="array" ref="AA195">$H195 *
IF(ISNUMBER(SEARCH("Rapid",$L195)),7/6,1) *
IF(OR(ISNUMBER(SEARCH("Beam",$L195)),ISNUMBER(SEARCH("Firestorm",$L195))),1, IF(ISNUMBER(SEARCH("Blast",$L195)),(4+$F195+(2-$F195)*0.5)/6*2,(4+$F195)/6)) *
IF(ISNUMBER(SEARCH("Fusion",$L195)), _xlfn.IFS(AA$24-$I195 &lt;=1, 9/10, AA$24-$I195 &lt;=10,(11-(AA$24-$I195))/10, AA$24-$I195 &gt;=11, 0),
_xlfn.IFS(AA$24-$I195 &lt;=1, 5/6, AA$24-$I195 &lt;=5, (7-(AA$24-$I195))/6, AND(AA$24-$I195 =6,NOT(_xlfn.IFNA(ISNUMBER(SEARCH("Rending",$L195)),FALSE))), (7-(AA$24-$I195))/6, AND(AA$24-$I195 &gt;=7,NOT(_xlfn.IFNA(ISNUMBER(SEARCH("Rending",$L195)),FALSE))), 0, AA$24-$I195 =7, (7-(AA$24-1-$I195))/6, AA$24-$I195 =8, (7-(AA$24-2-$I195))/6*2/3, AA$24-$I195 =9, (7-(AA$24-3-$I195))/6*1/3, TRUE, 0)) *
IF(ISNUMBER(SEARCH("Ordinance",$L195)),7/6,1) *
IF(OR(ISNUMBER(SEARCH("Melee",$L195)),ISNUMBER(SEARCH("Bypass",$L195))),1.5,1)</f>
        <v>0</v>
      </c>
      <c r="AB195" s="17" cm="1">
        <f t="array" ref="AB195">$H195 *
IF(ISNUMBER(SEARCH("Rapid",$L195)),7/6,1) *
IF(OR(ISNUMBER(SEARCH("Beam",$L195)),ISNUMBER(SEARCH("Firestorm",$L195))),1, IF(ISNUMBER(SEARCH("Blast",$L195)),(4+$F195+(2-$F195)*0.5)/6*2,(4+$F195)/6)) *
IF(ISNUMBER(SEARCH("Fusion",$L195)), _xlfn.IFS(AB$24-$I195 &lt;=1, 9/10, AB$24-$I195 &lt;=10,(11-(AB$24-$I195))/10, AB$24-$I195 &gt;=11, 0),
_xlfn.IFS(AB$24-$I195 &lt;=1, 5/6, AB$24-$I195 &lt;=5, (7-(AB$24-$I195))/6, AND(AB$24-$I195 =6,NOT(_xlfn.IFNA(ISNUMBER(SEARCH("Rending",$L195)),FALSE))), (7-(AB$24-$I195))/6, AND(AB$24-$I195 &gt;=7,NOT(_xlfn.IFNA(ISNUMBER(SEARCH("Rending",$L195)),FALSE))), 0, AB$24-$I195 =7, (7-(AB$24-1-$I195))/6, AB$24-$I195 =8, (7-(AB$24-2-$I195))/6*2/3, AB$24-$I195 =9, (7-(AB$24-3-$I195))/6*1/3, TRUE, 0)) *
IF(ISNUMBER(SEARCH("Ordinance",$L195)),7/6,1) *
IF(OR(ISNUMBER(SEARCH("Melee",$L195)),ISNUMBER(SEARCH("Bypass",$L195))),1.5,1)</f>
        <v>0</v>
      </c>
      <c r="AC195" s="17" cm="1">
        <f t="array" ref="AC195">$H195 *
IF(ISNUMBER(SEARCH("Rapid",$L195)),7/6,1) *
IF(OR(ISNUMBER(SEARCH("Beam",$L195)),ISNUMBER(SEARCH("Firestorm",$L195))),1, IF(ISNUMBER(SEARCH("Blast",$L195)),(4+$F195+(2-$F195)*0.5)/6*2,(4+$F195)/6)) *
IF(ISNUMBER(SEARCH("Fusion",$L195)), _xlfn.IFS(AC$24-$I195 &lt;=1, 9/10, AC$24-$I195 &lt;=10,(11-(AC$24-$I195))/10, AC$24-$I195 &gt;=11, 0),
_xlfn.IFS(AC$24-$I195 &lt;=1, 5/6, AC$24-$I195 &lt;=5, (7-(AC$24-$I195))/6, AND(AC$24-$I195 =6,NOT(_xlfn.IFNA(ISNUMBER(SEARCH("Rending",$L195)),FALSE))), (7-(AC$24-$I195))/6, AND(AC$24-$I195 &gt;=7,NOT(_xlfn.IFNA(ISNUMBER(SEARCH("Rending",$L195)),FALSE))), 0, AC$24-$I195 =7, (7-(AC$24-1-$I195))/6, AC$24-$I195 =8, (7-(AC$24-2-$I195))/6*2/3, AC$24-$I195 =9, (7-(AC$24-3-$I195))/6*1/3, TRUE, 0)) *
IF(ISNUMBER(SEARCH("Ordinance",$L195)),7/6,1) *
IF(OR(ISNUMBER(SEARCH("Melee",$L195)),ISNUMBER(SEARCH("Bypass",$L195))),1.5,1)</f>
        <v>0</v>
      </c>
      <c r="AD195" s="17" cm="1">
        <f t="array" ref="AD195">$H195 *
IF(ISNUMBER(SEARCH("Rapid",$L195)),7/6,1) *
IF(OR(ISNUMBER(SEARCH("Beam",$L195)),ISNUMBER(SEARCH("Firestorm",$L195))),1, IF(ISNUMBER(SEARCH("Blast",$L195)),(4+$F195+(2-$F195)*0.5)/6*2,(4+$F195)/6)) *
IF(ISNUMBER(SEARCH("Fusion",$L195)), _xlfn.IFS(AD$24-$I195 &lt;=1, 9/10, AD$24-$I195 &lt;=10,(11-(AD$24-$I195))/10, AD$24-$I195 &gt;=11, 0),
_xlfn.IFS(AD$24-$I195 &lt;=1, 5/6, AD$24-$I195 &lt;=5, (7-(AD$24-$I195))/6, AND(AD$24-$I195 =6,NOT(_xlfn.IFNA(ISNUMBER(SEARCH("Rending",$L195)),FALSE))), (7-(AD$24-$I195))/6, AND(AD$24-$I195 &gt;=7,NOT(_xlfn.IFNA(ISNUMBER(SEARCH("Rending",$L195)),FALSE))), 0, AD$24-$I195 =7, (7-(AD$24-1-$I195))/6, AD$24-$I195 =8, (7-(AD$24-2-$I195))/6*2/3, AD$24-$I195 =9, (7-(AD$24-3-$I195))/6*1/3, TRUE, 0)) *
IF(ISNUMBER(SEARCH("Ordinance",$L195)),7/6,1) *
IF(OR(ISNUMBER(SEARCH("Melee",$L195)),ISNUMBER(SEARCH("Bypass",$L195))),1.5,1)</f>
        <v>0</v>
      </c>
      <c r="AE195" s="17" cm="1">
        <f t="array" ref="AE195">$H195 *
IF(ISNUMBER(SEARCH("Rapid",$L195)),7/6,1) *
IF(OR(ISNUMBER(SEARCH("Beam",$L195)),ISNUMBER(SEARCH("Firestorm",$L195))),1, IF(ISNUMBER(SEARCH("Blast",$L195)),(4+$F195+(2-$F195)*0.5)/6*2,(4+$F195)/6)) *
IF(ISNUMBER(SEARCH("Fusion",$L195)), _xlfn.IFS(AE$24-$I195 &lt;=1, 9/10, AE$24-$I195 &lt;=10,(11-(AE$24-$I195))/10, AE$24-$I195 &gt;=11, 0),
_xlfn.IFS(AE$24-$I195 &lt;=1, 5/6, AE$24-$I195 &lt;=5, (7-(AE$24-$I195))/6, AND(AE$24-$I195 =6,NOT(_xlfn.IFNA(ISNUMBER(SEARCH("Rending",$L195)),FALSE))), (7-(AE$24-$I195))/6, AND(AE$24-$I195 &gt;=7,NOT(_xlfn.IFNA(ISNUMBER(SEARCH("Rending",$L195)),FALSE))), 0, AE$24-$I195 =7, (7-(AE$24-1-$I195))/6, AE$24-$I195 =8, (7-(AE$24-2-$I195))/6*2/3, AE$24-$I195 =9, (7-(AE$24-3-$I195))/6*1/3, TRUE, 0)) *
IF(ISNUMBER(SEARCH("Ordinance",$L195)),7/6,1) *
IF(OR(ISNUMBER(SEARCH("Melee",$L195)),ISNUMBER(SEARCH("Bypass",$L195))),1.5,1)</f>
        <v>0</v>
      </c>
      <c r="AF195" s="17" cm="1">
        <f t="array" ref="AF195">$H195 *
IF(ISNUMBER(SEARCH("Rapid",$L195)),7/6,1) *
IF(OR(ISNUMBER(SEARCH("Beam",$L195)),ISNUMBER(SEARCH("Firestorm",$L195))),1, IF(ISNUMBER(SEARCH("Blast",$L195)),(4+$F195+(2-$F195)*0.5)/6*2,(4+$F195)/6)) *
IF(ISNUMBER(SEARCH("Fusion",$L195)), _xlfn.IFS(AF$24-$I195 &lt;=1, 9/10, AF$24-$I195 &lt;=10,(11-(AF$24-$I195))/10, AF$24-$I195 &gt;=11, 0),
_xlfn.IFS(AF$24-$I195 &lt;=1, 5/6, AF$24-$I195 &lt;=5, (7-(AF$24-$I195))/6, AND(AF$24-$I195 =6,NOT(_xlfn.IFNA(ISNUMBER(SEARCH("Rending",$L195)),FALSE))), (7-(AF$24-$I195))/6, AND(AF$24-$I195 &gt;=7,NOT(_xlfn.IFNA(ISNUMBER(SEARCH("Rending",$L195)),FALSE))), 0, AF$24-$I195 =7, (7-(AF$24-1-$I195))/6, AF$24-$I195 =8, (7-(AF$24-2-$I195))/6*2/3, AF$24-$I195 =9, (7-(AF$24-3-$I195))/6*1/3, TRUE, 0)) *
IF(ISNUMBER(SEARCH("Ordinance",$L195)),7/6,1) *
IF(OR(ISNUMBER(SEARCH("Melee",$L195)),ISNUMBER(SEARCH("Bypass",$L195))),1.5,1)</f>
        <v>0</v>
      </c>
      <c r="AG195" s="16">
        <f t="shared" ref="AG195:AG205" si="53">IF(OR(ISNUMBER(SEARCH("Melee",$L195)),ISNUMBER(SEARCH("Bypass",$L195))),0, (($H195 *IF(ISNUMBER(SEARCH("Rapid",$L195)),7/6,1)*IF(OR(ISNUMBER(SEARCH("Beam",$L195)),ISNUMBER(SEARCH("Firestorm",$L195))),1, IF(ISNUMBER(SEARCH("Blast",$L195)),(4+$G195+(2-$G195)*0.5)/6*2,(4+$G195)/6)))+IF(ISNUMBER(SEARCH("Voidbreaker", $L195)),1.89,0)) *IF(ISNUMBER(SEARCH("Shieldbane", $L195)),3/6,2/6))</f>
        <v>0</v>
      </c>
      <c r="AH195" s="16">
        <f t="shared" ref="AH195:AH205" si="54">IF(OR(ISNUMBER(SEARCH("Melee",$L195)),ISNUMBER(SEARCH("Bypass",$L195))),0, (($H195 *IF(ISNUMBER(SEARCH("Rapid",$L195)),7/6,1)*IF(OR(ISNUMBER(SEARCH("Beam",$L195)),ISNUMBER(SEARCH("Firestorm",$L195))),1, IF(ISNUMBER(SEARCH("Blast",$L195)),(4+$G195+(2-$G195)*0.5)/6*2,(4+$G195)/6)))+IF(ISNUMBER(SEARCH("Voidbreaker", $L195)),1.89,0)) *IF(ISNUMBER(SEARCH("Shieldbane", $L195)),4/6,3/6))</f>
        <v>0</v>
      </c>
      <c r="AI195" s="17" cm="1">
        <f t="array" ref="AI195">$H195 *
IF(ISNUMBER(SEARCH("Rapid",$L195)),7/6,1) *
IF(OR(ISNUMBER(SEARCH("Beam",$L195)),ISNUMBER(SEARCH("Firestorm",$L195))),1, IF(ISNUMBER(SEARCH("Blast",$L195)),(4+$G195+(2-$G195)*0.5)/6*2,(4+$G195)/6)) *
_xlfn.IFS(AI$24-$I195 &lt;=1, 5/6, AI$24-$I195 &lt;=5, (7-(AI$24-$I195))/6, AND(AI$24-$I195 =6,NOT(_xlfn.IFNA(ISNUMBER(SEARCH("Rending",$L195)),FALSE))), (7-(AI$24-$I195))/6, AND(AI$24-$I195 &gt;=7,NOT(_xlfn.IFNA(ISNUMBER(SEARCH("Rending",$L195)),FALSE))), 0, AI$24-$I195 =7, (7-(AI$24-1-$I195))/6, AI$24-$I195 =8, (7-(AI$24-2-$I195))/6*2/3, AI$24-$I195 =9, (7-(AI$24-3-$I195))/6*1/3, TRUE, 0) *
IF(ISNUMBER(SEARCH("Ordinance",$L195)),7/6,1) *
IF(OR(ISNUMBER(SEARCH("Melee",$L195)),ISNUMBER(SEARCH("Bypass",$L195))),1.5,1)</f>
        <v>0</v>
      </c>
      <c r="AJ195" s="17" cm="1">
        <f t="array" ref="AJ195">$H195 *
IF(ISNUMBER(SEARCH("Rapid",$L195)),7/6,1) *
IF(OR(ISNUMBER(SEARCH("Beam",$L195)),ISNUMBER(SEARCH("Firestorm",$L195))),1, IF(ISNUMBER(SEARCH("Blast",$L195)),(4+$G195+(2-$G195)*0.5)/6*2,(4+$G195)/6)) *
_xlfn.IFS(AJ$24-$I195 &lt;=1, 5/6, AJ$24-$I195 &lt;=5, (7-(AJ$24-$I195))/6, AND(AJ$24-$I195 =6,NOT(_xlfn.IFNA(ISNUMBER(SEARCH("Rending",$L195)),FALSE))), (7-(AJ$24-$I195))/6, AND(AJ$24-$I195 &gt;=7,NOT(_xlfn.IFNA(ISNUMBER(SEARCH("Rending",$L195)),FALSE))), 0, AJ$24-$I195 =7, (7-(AJ$24-1-$I195))/6, AJ$24-$I195 =8, (7-(AJ$24-2-$I195))/6*2/3, AJ$24-$I195 =9, (7-(AJ$24-3-$I195))/6*1/3, TRUE, 0) *
IF(ISNUMBER(SEARCH("Ordinance",$L195)),7/6,1) *
IF(OR(ISNUMBER(SEARCH("Melee",$L195)),ISNUMBER(SEARCH("Bypass",$L195))),1.5,1)</f>
        <v>0</v>
      </c>
      <c r="AK195" s="17" cm="1">
        <f t="array" ref="AK195">$H195 *
IF(ISNUMBER(SEARCH("Rapid",$L195)),7/6,1) *
IF(OR(ISNUMBER(SEARCH("Beam",$L195)),ISNUMBER(SEARCH("Firestorm",$L195))),1, IF(ISNUMBER(SEARCH("Blast",$L195)),(4+$G195+(2-$G195)*0.5)/6*2,(4+$G195)/6)) *
_xlfn.IFS(AK$24-$I195 &lt;=1, 5/6, AK$24-$I195 &lt;=5, (7-(AK$24-$I195))/6, AND(AK$24-$I195 =6,NOT(_xlfn.IFNA(ISNUMBER(SEARCH("Rending",$L195)),FALSE))), (7-(AK$24-$I195))/6, AND(AK$24-$I195 &gt;=7,NOT(_xlfn.IFNA(ISNUMBER(SEARCH("Rending",$L195)),FALSE))), 0, AK$24-$I195 =7, (7-(AK$24-1-$I195))/6, AK$24-$I195 =8, (7-(AK$24-2-$I195))/6*2/3, AK$24-$I195 =9, (7-(AK$24-3-$I195))/6*1/3, TRUE, 0) *
IF(ISNUMBER(SEARCH("Ordinance",$L195)),7/6,1) *
IF(OR(ISNUMBER(SEARCH("Melee",$L195)),ISNUMBER(SEARCH("Bypass",$L195))),1.5,1)</f>
        <v>0</v>
      </c>
      <c r="AL195" s="17" cm="1">
        <f t="array" ref="AL195">$H195 *
IF(ISNUMBER(SEARCH("Rapid",$L195)),7/6,1) *
IF(OR(ISNUMBER(SEARCH("Beam",$L195)),ISNUMBER(SEARCH("Firestorm",$L195))),1, IF(ISNUMBER(SEARCH("Blast",$L195)),(4+$G195+(2-$G195)*0.5)/6*2,(4+$G195)/6)) *
_xlfn.IFS(AL$24-$I195 &lt;=1, 5/6, AL$24-$I195 &lt;=5, (7-(AL$24-$I195))/6, AND(AL$24-$I195 =6,NOT(_xlfn.IFNA(ISNUMBER(SEARCH("Rending",$L195)),FALSE))), (7-(AL$24-$I195))/6, AND(AL$24-$I195 &gt;=7,NOT(_xlfn.IFNA(ISNUMBER(SEARCH("Rending",$L195)),FALSE))), 0, AL$24-$I195 =7, (7-(AL$24-1-$I195))/6, AL$24-$I195 =8, (7-(AL$24-2-$I195))/6*2/3, AL$24-$I195 =9, (7-(AL$24-3-$I195))/6*1/3, TRUE, 0) *
IF(ISNUMBER(SEARCH("Ordinance",$L195)),7/6,1) *
IF(OR(ISNUMBER(SEARCH("Melee",$L195)),ISNUMBER(SEARCH("Bypass",$L195))),1.5,1)</f>
        <v>0</v>
      </c>
      <c r="AM195" s="17" cm="1">
        <f t="array" ref="AM195">$H195 *
IF(ISNUMBER(SEARCH("Rapid",$L195)),7/6,1) *
IF(OR(ISNUMBER(SEARCH("Beam",$L195)),ISNUMBER(SEARCH("Firestorm",$L195))),1, IF(ISNUMBER(SEARCH("Blast",$L195)),(4+$G195+(2-$G195)*0.5)/6*2,(4+$G195)/6)) *
_xlfn.IFS(AM$24-$I195 &lt;=1, 5/6, AM$24-$I195 &lt;=5, (7-(AM$24-$I195))/6, AND(AM$24-$I195 =6,NOT(_xlfn.IFNA(ISNUMBER(SEARCH("Rending",$L195)),FALSE))), (7-(AM$24-$I195))/6, AND(AM$24-$I195 &gt;=7,NOT(_xlfn.IFNA(ISNUMBER(SEARCH("Rending",$L195)),FALSE))), 0, AM$24-$I195 =7, (7-(AM$24-1-$I195))/6, AM$24-$I195 =8, (7-(AM$24-2-$I195))/6*2/3, AM$24-$I195 =9, (7-(AM$24-3-$I195))/6*1/3, TRUE, 0) *
IF(ISNUMBER(SEARCH("Ordinance",$L195)),7/6,1) *
IF(OR(ISNUMBER(SEARCH("Melee",$L195)),ISNUMBER(SEARCH("Bypass",$L195))),1.5,1)</f>
        <v>0</v>
      </c>
      <c r="AN195" s="17" cm="1">
        <f t="array" ref="AN195">$H195 *
IF(ISNUMBER(SEARCH("Rapid",$L195)),7/6,1) *
IF(OR(ISNUMBER(SEARCH("Beam",$L195)),ISNUMBER(SEARCH("Firestorm",$L195))),1, IF(ISNUMBER(SEARCH("Blast",$L195)),(4+$G195+(2-$G195)*0.5)/6*2,(4+$G195)/6)) *
_xlfn.IFS(AN$24-$I195 &lt;=1, 5/6, AN$24-$I195 &lt;=5, (7-(AN$24-$I195))/6, AND(AN$24-$I195 =6,NOT(_xlfn.IFNA(ISNUMBER(SEARCH("Rending",$L195)),FALSE))), (7-(AN$24-$I195))/6, AND(AN$24-$I195 &gt;=7,NOT(_xlfn.IFNA(ISNUMBER(SEARCH("Rending",$L195)),FALSE))), 0, AN$24-$I195 =7, (7-(AN$24-1-$I195))/6, AN$24-$I195 =8, (7-(AN$24-2-$I195))/6*2/3, AN$24-$I195 =9, (7-(AN$24-3-$I195))/6*1/3, TRUE, 0) *
IF(ISNUMBER(SEARCH("Ordinance",$L195)),7/6,1) *
IF(OR(ISNUMBER(SEARCH("Melee",$L195)),ISNUMBER(SEARCH("Bypass",$L195))),1.5,1)</f>
        <v>0</v>
      </c>
      <c r="AO195" s="17" cm="1">
        <f t="array" ref="AO195">$H195 *
IF(ISNUMBER(SEARCH("Rapid",$L195)),7/6,1) *
IF(OR(ISNUMBER(SEARCH("Beam",$L195)),ISNUMBER(SEARCH("Firestorm",$L195))),1, IF(ISNUMBER(SEARCH("Blast",$L195)),(4+$G195+(2-$G195)*0.5)/6*2,(4+$G195)/6)) *
_xlfn.IFS(AO$24-$I195 &lt;=1, 5/6, AO$24-$I195 &lt;=5, (7-(AO$24-$I195))/6, AND(AO$24-$I195 =6,NOT(_xlfn.IFNA(ISNUMBER(SEARCH("Rending",$L195)),FALSE))), (7-(AO$24-$I195))/6, AND(AO$24-$I195 &gt;=7,NOT(_xlfn.IFNA(ISNUMBER(SEARCH("Rending",$L195)),FALSE))), 0, AO$24-$I195 =7, (7-(AO$24-1-$I195))/6, AO$24-$I195 =8, (7-(AO$24-2-$I195))/6*2/3, AO$24-$I195 =9, (7-(AO$24-3-$I195))/6*1/3, TRUE, 0) *
IF(ISNUMBER(SEARCH("Ordinance",$L195)),7/6,1) *
IF(OR(ISNUMBER(SEARCH("Melee",$L195)),ISNUMBER(SEARCH("Bypass",$L195))),1.5,1)</f>
        <v>0</v>
      </c>
      <c r="AP195" s="17" cm="1">
        <f t="array" ref="AP195">$H195 *
IF(ISNUMBER(SEARCH("Rapid",$L195)),7/6,1) *
IF(OR(ISNUMBER(SEARCH("Beam",$L195)),ISNUMBER(SEARCH("Firestorm",$L195))),1, IF(ISNUMBER(SEARCH("Blast",$L195)),(4+$G195+(2-$G195)*0.5)/6*2,(4+$G195)/6)) *
_xlfn.IFS(AP$24-$I195 &lt;=1, 5/6, AP$24-$I195 &lt;=5, (7-(AP$24-$I195))/6, AND(AP$24-$I195 =6,NOT(_xlfn.IFNA(ISNUMBER(SEARCH("Rending",$L195)),FALSE))), (7-(AP$24-$I195))/6, AND(AP$24-$I195 &gt;=7,NOT(_xlfn.IFNA(ISNUMBER(SEARCH("Rending",$L195)),FALSE))), 0, AP$24-$I195 =7, (7-(AP$24-1-$I195))/6, AP$24-$I195 =8, (7-(AP$24-2-$I195))/6*2/3, AP$24-$I195 =9, (7-(AP$24-3-$I195))/6*1/3, TRUE, 0) *
IF(ISNUMBER(SEARCH("Ordinance",$L195)),7/6,1) *
IF(OR(ISNUMBER(SEARCH("Melee",$L195)),ISNUMBER(SEARCH("Bypass",$L195))),1.5,1)</f>
        <v>0</v>
      </c>
      <c r="AQ195" s="17" cm="1">
        <f t="array" ref="AQ195">$H195 *
IF(ISNUMBER(SEARCH("Rapid",$L195)),7/6,1) *
IF(OR(ISNUMBER(SEARCH("Beam",$L195)),ISNUMBER(SEARCH("Firestorm",$L195))),1, IF(ISNUMBER(SEARCH("Blast",$L195)),(4+$G195+(2-$G195)*0.5)/6*2,(4+$G195)/6)) *
_xlfn.IFS(AQ$24-$I195 &lt;=1, 5/6, AQ$24-$I195 &lt;=5, (7-(AQ$24-$I195))/6, AND(AQ$24-$I195 =6,NOT(_xlfn.IFNA(ISNUMBER(SEARCH("Rending",$L195)),FALSE))), (7-(AQ$24-$I195))/6, AND(AQ$24-$I195 &gt;=7,NOT(_xlfn.IFNA(ISNUMBER(SEARCH("Rending",$L195)),FALSE))), 0, AQ$24-$I195 =7, (7-(AQ$24-1-$I195))/6, AQ$24-$I195 =8, (7-(AQ$24-2-$I195))/6*2/3, AQ$24-$I195 =9, (7-(AQ$24-3-$I195))/6*1/3, TRUE, 0) *
IF(ISNUMBER(SEARCH("Ordinance",$L195)),7/6,1) *
IF(OR(ISNUMBER(SEARCH("Melee",$L195)),ISNUMBER(SEARCH("Bypass",$L195))),1.5,1)</f>
        <v>0</v>
      </c>
    </row>
    <row r="196" spans="1:48" x14ac:dyDescent="0.3">
      <c r="F196" s="10"/>
      <c r="G196" s="10"/>
      <c r="V196" s="16">
        <f t="shared" si="51"/>
        <v>0</v>
      </c>
      <c r="W196" s="16">
        <f t="shared" si="52"/>
        <v>0</v>
      </c>
      <c r="X196" s="17" cm="1">
        <f t="array" ref="X196">$H196 *
IF(ISNUMBER(SEARCH("Rapid",$L196)),7/6,1) *
IF(OR(ISNUMBER(SEARCH("Beam",$L196)),ISNUMBER(SEARCH("Firestorm",$L196))),1, IF(ISNUMBER(SEARCH("Blast",$L196)),(4+$F196+(2-$F196)*0.5)/6*2,(4+$F196)/6)) *
IF(ISNUMBER(SEARCH("Fusion",$L196)), _xlfn.IFS(X$24-$I196 &lt;=1, 9/10, X$24-$I196 &lt;=10,(11-(X$24-$I196))/10, X$24-$I196 &gt;=11, 0),
_xlfn.IFS(X$24-$I196 &lt;=1, 5/6, X$24-$I196 &lt;=5, (7-(X$24-$I196))/6, AND(X$24-$I196 =6,NOT(_xlfn.IFNA(ISNUMBER(SEARCH("Rending",$L196)),FALSE))), (7-(X$24-$I196))/6, AND(X$24-$I196 &gt;=7,NOT(_xlfn.IFNA(ISNUMBER(SEARCH("Rending",$L196)),FALSE))), 0, X$24-$I196 =7, (7-(X$24-1-$I196))/6, X$24-$I196 =8, (7-(X$24-2-$I196))/6*2/3, X$24-$I196 =9, (7-(X$24-3-$I196))/6*1/3, TRUE, 0)) *
IF(ISNUMBER(SEARCH("Ordinance",$L196)),7/6,1) *
IF(OR(ISNUMBER(SEARCH("Melee",$L196)),ISNUMBER(SEARCH("Bypass",$L196))),1.5,1)</f>
        <v>0</v>
      </c>
      <c r="Y196" s="17" cm="1">
        <f t="array" ref="Y196">$H196 *
IF(ISNUMBER(SEARCH("Rapid",$L196)),7/6,1) *
IF(OR(ISNUMBER(SEARCH("Beam",$L196)),ISNUMBER(SEARCH("Firestorm",$L196))),1, IF(ISNUMBER(SEARCH("Blast",$L196)),(4+$F196+(2-$F196)*0.5)/6*2,(4+$F196)/6)) *
IF(ISNUMBER(SEARCH("Fusion",$L196)), _xlfn.IFS(Y$24-$I196 &lt;=1, 9/10, Y$24-$I196 &lt;=10,(11-(Y$24-$I196))/10, Y$24-$I196 &gt;=11, 0),
_xlfn.IFS(Y$24-$I196 &lt;=1, 5/6, Y$24-$I196 &lt;=5, (7-(Y$24-$I196))/6, AND(Y$24-$I196 =6,NOT(_xlfn.IFNA(ISNUMBER(SEARCH("Rending",$L196)),FALSE))), (7-(Y$24-$I196))/6, AND(Y$24-$I196 &gt;=7,NOT(_xlfn.IFNA(ISNUMBER(SEARCH("Rending",$L196)),FALSE))), 0, Y$24-$I196 =7, (7-(Y$24-1-$I196))/6, Y$24-$I196 =8, (7-(Y$24-2-$I196))/6*2/3, Y$24-$I196 =9, (7-(Y$24-3-$I196))/6*1/3, TRUE, 0)) *
IF(ISNUMBER(SEARCH("Ordinance",$L196)),7/6,1) *
IF(OR(ISNUMBER(SEARCH("Melee",$L196)),ISNUMBER(SEARCH("Bypass",$L196))),1.5,1)</f>
        <v>0</v>
      </c>
      <c r="Z196" s="17" cm="1">
        <f t="array" ref="Z196">$H196 *
IF(ISNUMBER(SEARCH("Rapid",$L196)),7/6,1) *
IF(OR(ISNUMBER(SEARCH("Beam",$L196)),ISNUMBER(SEARCH("Firestorm",$L196))),1, IF(ISNUMBER(SEARCH("Blast",$L196)),(4+$F196+(2-$F196)*0.5)/6*2,(4+$F196)/6)) *
IF(ISNUMBER(SEARCH("Fusion",$L196)), _xlfn.IFS(Z$24-$I196 &lt;=1, 9/10, Z$24-$I196 &lt;=10,(11-(Z$24-$I196))/10, Z$24-$I196 &gt;=11, 0),
_xlfn.IFS(Z$24-$I196 &lt;=1, 5/6, Z$24-$I196 &lt;=5, (7-(Z$24-$I196))/6, AND(Z$24-$I196 =6,NOT(_xlfn.IFNA(ISNUMBER(SEARCH("Rending",$L196)),FALSE))), (7-(Z$24-$I196))/6, AND(Z$24-$I196 &gt;=7,NOT(_xlfn.IFNA(ISNUMBER(SEARCH("Rending",$L196)),FALSE))), 0, Z$24-$I196 =7, (7-(Z$24-1-$I196))/6, Z$24-$I196 =8, (7-(Z$24-2-$I196))/6*2/3, Z$24-$I196 =9, (7-(Z$24-3-$I196))/6*1/3, TRUE, 0)) *
IF(ISNUMBER(SEARCH("Ordinance",$L196)),7/6,1) *
IF(OR(ISNUMBER(SEARCH("Melee",$L196)),ISNUMBER(SEARCH("Bypass",$L196))),1.5,1)</f>
        <v>0</v>
      </c>
      <c r="AA196" s="17" cm="1">
        <f t="array" ref="AA196">$H196 *
IF(ISNUMBER(SEARCH("Rapid",$L196)),7/6,1) *
IF(OR(ISNUMBER(SEARCH("Beam",$L196)),ISNUMBER(SEARCH("Firestorm",$L196))),1, IF(ISNUMBER(SEARCH("Blast",$L196)),(4+$F196+(2-$F196)*0.5)/6*2,(4+$F196)/6)) *
IF(ISNUMBER(SEARCH("Fusion",$L196)), _xlfn.IFS(AA$24-$I196 &lt;=1, 9/10, AA$24-$I196 &lt;=10,(11-(AA$24-$I196))/10, AA$24-$I196 &gt;=11, 0),
_xlfn.IFS(AA$24-$I196 &lt;=1, 5/6, AA$24-$I196 &lt;=5, (7-(AA$24-$I196))/6, AND(AA$24-$I196 =6,NOT(_xlfn.IFNA(ISNUMBER(SEARCH("Rending",$L196)),FALSE))), (7-(AA$24-$I196))/6, AND(AA$24-$I196 &gt;=7,NOT(_xlfn.IFNA(ISNUMBER(SEARCH("Rending",$L196)),FALSE))), 0, AA$24-$I196 =7, (7-(AA$24-1-$I196))/6, AA$24-$I196 =8, (7-(AA$24-2-$I196))/6*2/3, AA$24-$I196 =9, (7-(AA$24-3-$I196))/6*1/3, TRUE, 0)) *
IF(ISNUMBER(SEARCH("Ordinance",$L196)),7/6,1) *
IF(OR(ISNUMBER(SEARCH("Melee",$L196)),ISNUMBER(SEARCH("Bypass",$L196))),1.5,1)</f>
        <v>0</v>
      </c>
      <c r="AB196" s="17" cm="1">
        <f t="array" ref="AB196">$H196 *
IF(ISNUMBER(SEARCH("Rapid",$L196)),7/6,1) *
IF(OR(ISNUMBER(SEARCH("Beam",$L196)),ISNUMBER(SEARCH("Firestorm",$L196))),1, IF(ISNUMBER(SEARCH("Blast",$L196)),(4+$F196+(2-$F196)*0.5)/6*2,(4+$F196)/6)) *
IF(ISNUMBER(SEARCH("Fusion",$L196)), _xlfn.IFS(AB$24-$I196 &lt;=1, 9/10, AB$24-$I196 &lt;=10,(11-(AB$24-$I196))/10, AB$24-$I196 &gt;=11, 0),
_xlfn.IFS(AB$24-$I196 &lt;=1, 5/6, AB$24-$I196 &lt;=5, (7-(AB$24-$I196))/6, AND(AB$24-$I196 =6,NOT(_xlfn.IFNA(ISNUMBER(SEARCH("Rending",$L196)),FALSE))), (7-(AB$24-$I196))/6, AND(AB$24-$I196 &gt;=7,NOT(_xlfn.IFNA(ISNUMBER(SEARCH("Rending",$L196)),FALSE))), 0, AB$24-$I196 =7, (7-(AB$24-1-$I196))/6, AB$24-$I196 =8, (7-(AB$24-2-$I196))/6*2/3, AB$24-$I196 =9, (7-(AB$24-3-$I196))/6*1/3, TRUE, 0)) *
IF(ISNUMBER(SEARCH("Ordinance",$L196)),7/6,1) *
IF(OR(ISNUMBER(SEARCH("Melee",$L196)),ISNUMBER(SEARCH("Bypass",$L196))),1.5,1)</f>
        <v>0</v>
      </c>
      <c r="AC196" s="17" cm="1">
        <f t="array" ref="AC196">$H196 *
IF(ISNUMBER(SEARCH("Rapid",$L196)),7/6,1) *
IF(OR(ISNUMBER(SEARCH("Beam",$L196)),ISNUMBER(SEARCH("Firestorm",$L196))),1, IF(ISNUMBER(SEARCH("Blast",$L196)),(4+$F196+(2-$F196)*0.5)/6*2,(4+$F196)/6)) *
IF(ISNUMBER(SEARCH("Fusion",$L196)), _xlfn.IFS(AC$24-$I196 &lt;=1, 9/10, AC$24-$I196 &lt;=10,(11-(AC$24-$I196))/10, AC$24-$I196 &gt;=11, 0),
_xlfn.IFS(AC$24-$I196 &lt;=1, 5/6, AC$24-$I196 &lt;=5, (7-(AC$24-$I196))/6, AND(AC$24-$I196 =6,NOT(_xlfn.IFNA(ISNUMBER(SEARCH("Rending",$L196)),FALSE))), (7-(AC$24-$I196))/6, AND(AC$24-$I196 &gt;=7,NOT(_xlfn.IFNA(ISNUMBER(SEARCH("Rending",$L196)),FALSE))), 0, AC$24-$I196 =7, (7-(AC$24-1-$I196))/6, AC$24-$I196 =8, (7-(AC$24-2-$I196))/6*2/3, AC$24-$I196 =9, (7-(AC$24-3-$I196))/6*1/3, TRUE, 0)) *
IF(ISNUMBER(SEARCH("Ordinance",$L196)),7/6,1) *
IF(OR(ISNUMBER(SEARCH("Melee",$L196)),ISNUMBER(SEARCH("Bypass",$L196))),1.5,1)</f>
        <v>0</v>
      </c>
      <c r="AD196" s="17" cm="1">
        <f t="array" ref="AD196">$H196 *
IF(ISNUMBER(SEARCH("Rapid",$L196)),7/6,1) *
IF(OR(ISNUMBER(SEARCH("Beam",$L196)),ISNUMBER(SEARCH("Firestorm",$L196))),1, IF(ISNUMBER(SEARCH("Blast",$L196)),(4+$F196+(2-$F196)*0.5)/6*2,(4+$F196)/6)) *
IF(ISNUMBER(SEARCH("Fusion",$L196)), _xlfn.IFS(AD$24-$I196 &lt;=1, 9/10, AD$24-$I196 &lt;=10,(11-(AD$24-$I196))/10, AD$24-$I196 &gt;=11, 0),
_xlfn.IFS(AD$24-$I196 &lt;=1, 5/6, AD$24-$I196 &lt;=5, (7-(AD$24-$I196))/6, AND(AD$24-$I196 =6,NOT(_xlfn.IFNA(ISNUMBER(SEARCH("Rending",$L196)),FALSE))), (7-(AD$24-$I196))/6, AND(AD$24-$I196 &gt;=7,NOT(_xlfn.IFNA(ISNUMBER(SEARCH("Rending",$L196)),FALSE))), 0, AD$24-$I196 =7, (7-(AD$24-1-$I196))/6, AD$24-$I196 =8, (7-(AD$24-2-$I196))/6*2/3, AD$24-$I196 =9, (7-(AD$24-3-$I196))/6*1/3, TRUE, 0)) *
IF(ISNUMBER(SEARCH("Ordinance",$L196)),7/6,1) *
IF(OR(ISNUMBER(SEARCH("Melee",$L196)),ISNUMBER(SEARCH("Bypass",$L196))),1.5,1)</f>
        <v>0</v>
      </c>
      <c r="AE196" s="17" cm="1">
        <f t="array" ref="AE196">$H196 *
IF(ISNUMBER(SEARCH("Rapid",$L196)),7/6,1) *
IF(OR(ISNUMBER(SEARCH("Beam",$L196)),ISNUMBER(SEARCH("Firestorm",$L196))),1, IF(ISNUMBER(SEARCH("Blast",$L196)),(4+$F196+(2-$F196)*0.5)/6*2,(4+$F196)/6)) *
IF(ISNUMBER(SEARCH("Fusion",$L196)), _xlfn.IFS(AE$24-$I196 &lt;=1, 9/10, AE$24-$I196 &lt;=10,(11-(AE$24-$I196))/10, AE$24-$I196 &gt;=11, 0),
_xlfn.IFS(AE$24-$I196 &lt;=1, 5/6, AE$24-$I196 &lt;=5, (7-(AE$24-$I196))/6, AND(AE$24-$I196 =6,NOT(_xlfn.IFNA(ISNUMBER(SEARCH("Rending",$L196)),FALSE))), (7-(AE$24-$I196))/6, AND(AE$24-$I196 &gt;=7,NOT(_xlfn.IFNA(ISNUMBER(SEARCH("Rending",$L196)),FALSE))), 0, AE$24-$I196 =7, (7-(AE$24-1-$I196))/6, AE$24-$I196 =8, (7-(AE$24-2-$I196))/6*2/3, AE$24-$I196 =9, (7-(AE$24-3-$I196))/6*1/3, TRUE, 0)) *
IF(ISNUMBER(SEARCH("Ordinance",$L196)),7/6,1) *
IF(OR(ISNUMBER(SEARCH("Melee",$L196)),ISNUMBER(SEARCH("Bypass",$L196))),1.5,1)</f>
        <v>0</v>
      </c>
      <c r="AF196" s="17" cm="1">
        <f t="array" ref="AF196">$H196 *
IF(ISNUMBER(SEARCH("Rapid",$L196)),7/6,1) *
IF(OR(ISNUMBER(SEARCH("Beam",$L196)),ISNUMBER(SEARCH("Firestorm",$L196))),1, IF(ISNUMBER(SEARCH("Blast",$L196)),(4+$F196+(2-$F196)*0.5)/6*2,(4+$F196)/6)) *
IF(ISNUMBER(SEARCH("Fusion",$L196)), _xlfn.IFS(AF$24-$I196 &lt;=1, 9/10, AF$24-$I196 &lt;=10,(11-(AF$24-$I196))/10, AF$24-$I196 &gt;=11, 0),
_xlfn.IFS(AF$24-$I196 &lt;=1, 5/6, AF$24-$I196 &lt;=5, (7-(AF$24-$I196))/6, AND(AF$24-$I196 =6,NOT(_xlfn.IFNA(ISNUMBER(SEARCH("Rending",$L196)),FALSE))), (7-(AF$24-$I196))/6, AND(AF$24-$I196 &gt;=7,NOT(_xlfn.IFNA(ISNUMBER(SEARCH("Rending",$L196)),FALSE))), 0, AF$24-$I196 =7, (7-(AF$24-1-$I196))/6, AF$24-$I196 =8, (7-(AF$24-2-$I196))/6*2/3, AF$24-$I196 =9, (7-(AF$24-3-$I196))/6*1/3, TRUE, 0)) *
IF(ISNUMBER(SEARCH("Ordinance",$L196)),7/6,1) *
IF(OR(ISNUMBER(SEARCH("Melee",$L196)),ISNUMBER(SEARCH("Bypass",$L196))),1.5,1)</f>
        <v>0</v>
      </c>
      <c r="AG196" s="16">
        <f t="shared" si="53"/>
        <v>0</v>
      </c>
      <c r="AH196" s="16">
        <f t="shared" si="54"/>
        <v>0</v>
      </c>
      <c r="AI196" s="17" cm="1">
        <f t="array" ref="AI196">$H196 *
IF(ISNUMBER(SEARCH("Rapid",$L196)),7/6,1) *
IF(OR(ISNUMBER(SEARCH("Beam",$L196)),ISNUMBER(SEARCH("Firestorm",$L196))),1, IF(ISNUMBER(SEARCH("Blast",$L196)),(4+$G196+(2-$G196)*0.5)/6*2,(4+$G196)/6)) *
_xlfn.IFS(AI$24-$I196 &lt;=1, 5/6, AI$24-$I196 &lt;=5, (7-(AI$24-$I196))/6, AND(AI$24-$I196 =6,NOT(_xlfn.IFNA(ISNUMBER(SEARCH("Rending",$L196)),FALSE))), (7-(AI$24-$I196))/6, AND(AI$24-$I196 &gt;=7,NOT(_xlfn.IFNA(ISNUMBER(SEARCH("Rending",$L196)),FALSE))), 0, AI$24-$I196 =7, (7-(AI$24-1-$I196))/6, AI$24-$I196 =8, (7-(AI$24-2-$I196))/6*2/3, AI$24-$I196 =9, (7-(AI$24-3-$I196))/6*1/3, TRUE, 0) *
IF(ISNUMBER(SEARCH("Ordinance",$L196)),7/6,1) *
IF(OR(ISNUMBER(SEARCH("Melee",$L196)),ISNUMBER(SEARCH("Bypass",$L196))),1.5,1)</f>
        <v>0</v>
      </c>
      <c r="AJ196" s="17" cm="1">
        <f t="array" ref="AJ196">$H196 *
IF(ISNUMBER(SEARCH("Rapid",$L196)),7/6,1) *
IF(OR(ISNUMBER(SEARCH("Beam",$L196)),ISNUMBER(SEARCH("Firestorm",$L196))),1, IF(ISNUMBER(SEARCH("Blast",$L196)),(4+$G196+(2-$G196)*0.5)/6*2,(4+$G196)/6)) *
_xlfn.IFS(AJ$24-$I196 &lt;=1, 5/6, AJ$24-$I196 &lt;=5, (7-(AJ$24-$I196))/6, AND(AJ$24-$I196 =6,NOT(_xlfn.IFNA(ISNUMBER(SEARCH("Rending",$L196)),FALSE))), (7-(AJ$24-$I196))/6, AND(AJ$24-$I196 &gt;=7,NOT(_xlfn.IFNA(ISNUMBER(SEARCH("Rending",$L196)),FALSE))), 0, AJ$24-$I196 =7, (7-(AJ$24-1-$I196))/6, AJ$24-$I196 =8, (7-(AJ$24-2-$I196))/6*2/3, AJ$24-$I196 =9, (7-(AJ$24-3-$I196))/6*1/3, TRUE, 0) *
IF(ISNUMBER(SEARCH("Ordinance",$L196)),7/6,1) *
IF(OR(ISNUMBER(SEARCH("Melee",$L196)),ISNUMBER(SEARCH("Bypass",$L196))),1.5,1)</f>
        <v>0</v>
      </c>
      <c r="AK196" s="17" cm="1">
        <f t="array" ref="AK196">$H196 *
IF(ISNUMBER(SEARCH("Rapid",$L196)),7/6,1) *
IF(OR(ISNUMBER(SEARCH("Beam",$L196)),ISNUMBER(SEARCH("Firestorm",$L196))),1, IF(ISNUMBER(SEARCH("Blast",$L196)),(4+$G196+(2-$G196)*0.5)/6*2,(4+$G196)/6)) *
_xlfn.IFS(AK$24-$I196 &lt;=1, 5/6, AK$24-$I196 &lt;=5, (7-(AK$24-$I196))/6, AND(AK$24-$I196 =6,NOT(_xlfn.IFNA(ISNUMBER(SEARCH("Rending",$L196)),FALSE))), (7-(AK$24-$I196))/6, AND(AK$24-$I196 &gt;=7,NOT(_xlfn.IFNA(ISNUMBER(SEARCH("Rending",$L196)),FALSE))), 0, AK$24-$I196 =7, (7-(AK$24-1-$I196))/6, AK$24-$I196 =8, (7-(AK$24-2-$I196))/6*2/3, AK$24-$I196 =9, (7-(AK$24-3-$I196))/6*1/3, TRUE, 0) *
IF(ISNUMBER(SEARCH("Ordinance",$L196)),7/6,1) *
IF(OR(ISNUMBER(SEARCH("Melee",$L196)),ISNUMBER(SEARCH("Bypass",$L196))),1.5,1)</f>
        <v>0</v>
      </c>
      <c r="AL196" s="17" cm="1">
        <f t="array" ref="AL196">$H196 *
IF(ISNUMBER(SEARCH("Rapid",$L196)),7/6,1) *
IF(OR(ISNUMBER(SEARCH("Beam",$L196)),ISNUMBER(SEARCH("Firestorm",$L196))),1, IF(ISNUMBER(SEARCH("Blast",$L196)),(4+$G196+(2-$G196)*0.5)/6*2,(4+$G196)/6)) *
_xlfn.IFS(AL$24-$I196 &lt;=1, 5/6, AL$24-$I196 &lt;=5, (7-(AL$24-$I196))/6, AND(AL$24-$I196 =6,NOT(_xlfn.IFNA(ISNUMBER(SEARCH("Rending",$L196)),FALSE))), (7-(AL$24-$I196))/6, AND(AL$24-$I196 &gt;=7,NOT(_xlfn.IFNA(ISNUMBER(SEARCH("Rending",$L196)),FALSE))), 0, AL$24-$I196 =7, (7-(AL$24-1-$I196))/6, AL$24-$I196 =8, (7-(AL$24-2-$I196))/6*2/3, AL$24-$I196 =9, (7-(AL$24-3-$I196))/6*1/3, TRUE, 0) *
IF(ISNUMBER(SEARCH("Ordinance",$L196)),7/6,1) *
IF(OR(ISNUMBER(SEARCH("Melee",$L196)),ISNUMBER(SEARCH("Bypass",$L196))),1.5,1)</f>
        <v>0</v>
      </c>
      <c r="AM196" s="17" cm="1">
        <f t="array" ref="AM196">$H196 *
IF(ISNUMBER(SEARCH("Rapid",$L196)),7/6,1) *
IF(OR(ISNUMBER(SEARCH("Beam",$L196)),ISNUMBER(SEARCH("Firestorm",$L196))),1, IF(ISNUMBER(SEARCH("Blast",$L196)),(4+$G196+(2-$G196)*0.5)/6*2,(4+$G196)/6)) *
_xlfn.IFS(AM$24-$I196 &lt;=1, 5/6, AM$24-$I196 &lt;=5, (7-(AM$24-$I196))/6, AND(AM$24-$I196 =6,NOT(_xlfn.IFNA(ISNUMBER(SEARCH("Rending",$L196)),FALSE))), (7-(AM$24-$I196))/6, AND(AM$24-$I196 &gt;=7,NOT(_xlfn.IFNA(ISNUMBER(SEARCH("Rending",$L196)),FALSE))), 0, AM$24-$I196 =7, (7-(AM$24-1-$I196))/6, AM$24-$I196 =8, (7-(AM$24-2-$I196))/6*2/3, AM$24-$I196 =9, (7-(AM$24-3-$I196))/6*1/3, TRUE, 0) *
IF(ISNUMBER(SEARCH("Ordinance",$L196)),7/6,1) *
IF(OR(ISNUMBER(SEARCH("Melee",$L196)),ISNUMBER(SEARCH("Bypass",$L196))),1.5,1)</f>
        <v>0</v>
      </c>
      <c r="AN196" s="17" cm="1">
        <f t="array" ref="AN196">$H196 *
IF(ISNUMBER(SEARCH("Rapid",$L196)),7/6,1) *
IF(OR(ISNUMBER(SEARCH("Beam",$L196)),ISNUMBER(SEARCH("Firestorm",$L196))),1, IF(ISNUMBER(SEARCH("Blast",$L196)),(4+$G196+(2-$G196)*0.5)/6*2,(4+$G196)/6)) *
_xlfn.IFS(AN$24-$I196 &lt;=1, 5/6, AN$24-$I196 &lt;=5, (7-(AN$24-$I196))/6, AND(AN$24-$I196 =6,NOT(_xlfn.IFNA(ISNUMBER(SEARCH("Rending",$L196)),FALSE))), (7-(AN$24-$I196))/6, AND(AN$24-$I196 &gt;=7,NOT(_xlfn.IFNA(ISNUMBER(SEARCH("Rending",$L196)),FALSE))), 0, AN$24-$I196 =7, (7-(AN$24-1-$I196))/6, AN$24-$I196 =8, (7-(AN$24-2-$I196))/6*2/3, AN$24-$I196 =9, (7-(AN$24-3-$I196))/6*1/3, TRUE, 0) *
IF(ISNUMBER(SEARCH("Ordinance",$L196)),7/6,1) *
IF(OR(ISNUMBER(SEARCH("Melee",$L196)),ISNUMBER(SEARCH("Bypass",$L196))),1.5,1)</f>
        <v>0</v>
      </c>
      <c r="AO196" s="17" cm="1">
        <f t="array" ref="AO196">$H196 *
IF(ISNUMBER(SEARCH("Rapid",$L196)),7/6,1) *
IF(OR(ISNUMBER(SEARCH("Beam",$L196)),ISNUMBER(SEARCH("Firestorm",$L196))),1, IF(ISNUMBER(SEARCH("Blast",$L196)),(4+$G196+(2-$G196)*0.5)/6*2,(4+$G196)/6)) *
_xlfn.IFS(AO$24-$I196 &lt;=1, 5/6, AO$24-$I196 &lt;=5, (7-(AO$24-$I196))/6, AND(AO$24-$I196 =6,NOT(_xlfn.IFNA(ISNUMBER(SEARCH("Rending",$L196)),FALSE))), (7-(AO$24-$I196))/6, AND(AO$24-$I196 &gt;=7,NOT(_xlfn.IFNA(ISNUMBER(SEARCH("Rending",$L196)),FALSE))), 0, AO$24-$I196 =7, (7-(AO$24-1-$I196))/6, AO$24-$I196 =8, (7-(AO$24-2-$I196))/6*2/3, AO$24-$I196 =9, (7-(AO$24-3-$I196))/6*1/3, TRUE, 0) *
IF(ISNUMBER(SEARCH("Ordinance",$L196)),7/6,1) *
IF(OR(ISNUMBER(SEARCH("Melee",$L196)),ISNUMBER(SEARCH("Bypass",$L196))),1.5,1)</f>
        <v>0</v>
      </c>
      <c r="AP196" s="17" cm="1">
        <f t="array" ref="AP196">$H196 *
IF(ISNUMBER(SEARCH("Rapid",$L196)),7/6,1) *
IF(OR(ISNUMBER(SEARCH("Beam",$L196)),ISNUMBER(SEARCH("Firestorm",$L196))),1, IF(ISNUMBER(SEARCH("Blast",$L196)),(4+$G196+(2-$G196)*0.5)/6*2,(4+$G196)/6)) *
_xlfn.IFS(AP$24-$I196 &lt;=1, 5/6, AP$24-$I196 &lt;=5, (7-(AP$24-$I196))/6, AND(AP$24-$I196 =6,NOT(_xlfn.IFNA(ISNUMBER(SEARCH("Rending",$L196)),FALSE))), (7-(AP$24-$I196))/6, AND(AP$24-$I196 &gt;=7,NOT(_xlfn.IFNA(ISNUMBER(SEARCH("Rending",$L196)),FALSE))), 0, AP$24-$I196 =7, (7-(AP$24-1-$I196))/6, AP$24-$I196 =8, (7-(AP$24-2-$I196))/6*2/3, AP$24-$I196 =9, (7-(AP$24-3-$I196))/6*1/3, TRUE, 0) *
IF(ISNUMBER(SEARCH("Ordinance",$L196)),7/6,1) *
IF(OR(ISNUMBER(SEARCH("Melee",$L196)),ISNUMBER(SEARCH("Bypass",$L196))),1.5,1)</f>
        <v>0</v>
      </c>
      <c r="AQ196" s="17" cm="1">
        <f t="array" ref="AQ196">$H196 *
IF(ISNUMBER(SEARCH("Rapid",$L196)),7/6,1) *
IF(OR(ISNUMBER(SEARCH("Beam",$L196)),ISNUMBER(SEARCH("Firestorm",$L196))),1, IF(ISNUMBER(SEARCH("Blast",$L196)),(4+$G196+(2-$G196)*0.5)/6*2,(4+$G196)/6)) *
_xlfn.IFS(AQ$24-$I196 &lt;=1, 5/6, AQ$24-$I196 &lt;=5, (7-(AQ$24-$I196))/6, AND(AQ$24-$I196 =6,NOT(_xlfn.IFNA(ISNUMBER(SEARCH("Rending",$L196)),FALSE))), (7-(AQ$24-$I196))/6, AND(AQ$24-$I196 &gt;=7,NOT(_xlfn.IFNA(ISNUMBER(SEARCH("Rending",$L196)),FALSE))), 0, AQ$24-$I196 =7, (7-(AQ$24-1-$I196))/6, AQ$24-$I196 =8, (7-(AQ$24-2-$I196))/6*2/3, AQ$24-$I196 =9, (7-(AQ$24-3-$I196))/6*1/3, TRUE, 0) *
IF(ISNUMBER(SEARCH("Ordinance",$L196)),7/6,1) *
IF(OR(ISNUMBER(SEARCH("Melee",$L196)),ISNUMBER(SEARCH("Bypass",$L196))),1.5,1)</f>
        <v>0</v>
      </c>
    </row>
    <row r="197" spans="1:48" x14ac:dyDescent="0.3">
      <c r="F197" s="10"/>
      <c r="G197" s="10"/>
      <c r="V197" s="16">
        <f t="shared" si="51"/>
        <v>0</v>
      </c>
      <c r="W197" s="16">
        <f t="shared" si="52"/>
        <v>0</v>
      </c>
      <c r="X197" s="17" cm="1">
        <f t="array" ref="X197">$H197 *
IF(ISNUMBER(SEARCH("Rapid",$L197)),7/6,1) *
IF(OR(ISNUMBER(SEARCH("Beam",$L197)),ISNUMBER(SEARCH("Firestorm",$L197))),1, IF(ISNUMBER(SEARCH("Blast",$L197)),(4+$F197+(2-$F197)*0.5)/6*2,(4+$F197)/6)) *
IF(ISNUMBER(SEARCH("Fusion",$L197)), _xlfn.IFS(X$24-$I197 &lt;=1, 9/10, X$24-$I197 &lt;=10,(11-(X$24-$I197))/10, X$24-$I197 &gt;=11, 0),
_xlfn.IFS(X$24-$I197 &lt;=1, 5/6, X$24-$I197 &lt;=5, (7-(X$24-$I197))/6, AND(X$24-$I197 =6,NOT(_xlfn.IFNA(ISNUMBER(SEARCH("Rending",$L197)),FALSE))), (7-(X$24-$I197))/6, AND(X$24-$I197 &gt;=7,NOT(_xlfn.IFNA(ISNUMBER(SEARCH("Rending",$L197)),FALSE))), 0, X$24-$I197 =7, (7-(X$24-1-$I197))/6, X$24-$I197 =8, (7-(X$24-2-$I197))/6*2/3, X$24-$I197 =9, (7-(X$24-3-$I197))/6*1/3, TRUE, 0)) *
IF(ISNUMBER(SEARCH("Ordinance",$L197)),7/6,1) *
IF(OR(ISNUMBER(SEARCH("Melee",$L197)),ISNUMBER(SEARCH("Bypass",$L197))),1.5,1)</f>
        <v>0</v>
      </c>
      <c r="Y197" s="17" cm="1">
        <f t="array" ref="Y197">$H197 *
IF(ISNUMBER(SEARCH("Rapid",$L197)),7/6,1) *
IF(OR(ISNUMBER(SEARCH("Beam",$L197)),ISNUMBER(SEARCH("Firestorm",$L197))),1, IF(ISNUMBER(SEARCH("Blast",$L197)),(4+$F197+(2-$F197)*0.5)/6*2,(4+$F197)/6)) *
IF(ISNUMBER(SEARCH("Fusion",$L197)), _xlfn.IFS(Y$24-$I197 &lt;=1, 9/10, Y$24-$I197 &lt;=10,(11-(Y$24-$I197))/10, Y$24-$I197 &gt;=11, 0),
_xlfn.IFS(Y$24-$I197 &lt;=1, 5/6, Y$24-$I197 &lt;=5, (7-(Y$24-$I197))/6, AND(Y$24-$I197 =6,NOT(_xlfn.IFNA(ISNUMBER(SEARCH("Rending",$L197)),FALSE))), (7-(Y$24-$I197))/6, AND(Y$24-$I197 &gt;=7,NOT(_xlfn.IFNA(ISNUMBER(SEARCH("Rending",$L197)),FALSE))), 0, Y$24-$I197 =7, (7-(Y$24-1-$I197))/6, Y$24-$I197 =8, (7-(Y$24-2-$I197))/6*2/3, Y$24-$I197 =9, (7-(Y$24-3-$I197))/6*1/3, TRUE, 0)) *
IF(ISNUMBER(SEARCH("Ordinance",$L197)),7/6,1) *
IF(OR(ISNUMBER(SEARCH("Melee",$L197)),ISNUMBER(SEARCH("Bypass",$L197))),1.5,1)</f>
        <v>0</v>
      </c>
      <c r="Z197" s="17" cm="1">
        <f t="array" ref="Z197">$H197 *
IF(ISNUMBER(SEARCH("Rapid",$L197)),7/6,1) *
IF(OR(ISNUMBER(SEARCH("Beam",$L197)),ISNUMBER(SEARCH("Firestorm",$L197))),1, IF(ISNUMBER(SEARCH("Blast",$L197)),(4+$F197+(2-$F197)*0.5)/6*2,(4+$F197)/6)) *
IF(ISNUMBER(SEARCH("Fusion",$L197)), _xlfn.IFS(Z$24-$I197 &lt;=1, 9/10, Z$24-$I197 &lt;=10,(11-(Z$24-$I197))/10, Z$24-$I197 &gt;=11, 0),
_xlfn.IFS(Z$24-$I197 &lt;=1, 5/6, Z$24-$I197 &lt;=5, (7-(Z$24-$I197))/6, AND(Z$24-$I197 =6,NOT(_xlfn.IFNA(ISNUMBER(SEARCH("Rending",$L197)),FALSE))), (7-(Z$24-$I197))/6, AND(Z$24-$I197 &gt;=7,NOT(_xlfn.IFNA(ISNUMBER(SEARCH("Rending",$L197)),FALSE))), 0, Z$24-$I197 =7, (7-(Z$24-1-$I197))/6, Z$24-$I197 =8, (7-(Z$24-2-$I197))/6*2/3, Z$24-$I197 =9, (7-(Z$24-3-$I197))/6*1/3, TRUE, 0)) *
IF(ISNUMBER(SEARCH("Ordinance",$L197)),7/6,1) *
IF(OR(ISNUMBER(SEARCH("Melee",$L197)),ISNUMBER(SEARCH("Bypass",$L197))),1.5,1)</f>
        <v>0</v>
      </c>
      <c r="AA197" s="17" cm="1">
        <f t="array" ref="AA197">$H197 *
IF(ISNUMBER(SEARCH("Rapid",$L197)),7/6,1) *
IF(OR(ISNUMBER(SEARCH("Beam",$L197)),ISNUMBER(SEARCH("Firestorm",$L197))),1, IF(ISNUMBER(SEARCH("Blast",$L197)),(4+$F197+(2-$F197)*0.5)/6*2,(4+$F197)/6)) *
IF(ISNUMBER(SEARCH("Fusion",$L197)), _xlfn.IFS(AA$24-$I197 &lt;=1, 9/10, AA$24-$I197 &lt;=10,(11-(AA$24-$I197))/10, AA$24-$I197 &gt;=11, 0),
_xlfn.IFS(AA$24-$I197 &lt;=1, 5/6, AA$24-$I197 &lt;=5, (7-(AA$24-$I197))/6, AND(AA$24-$I197 =6,NOT(_xlfn.IFNA(ISNUMBER(SEARCH("Rending",$L197)),FALSE))), (7-(AA$24-$I197))/6, AND(AA$24-$I197 &gt;=7,NOT(_xlfn.IFNA(ISNUMBER(SEARCH("Rending",$L197)),FALSE))), 0, AA$24-$I197 =7, (7-(AA$24-1-$I197))/6, AA$24-$I197 =8, (7-(AA$24-2-$I197))/6*2/3, AA$24-$I197 =9, (7-(AA$24-3-$I197))/6*1/3, TRUE, 0)) *
IF(ISNUMBER(SEARCH("Ordinance",$L197)),7/6,1) *
IF(OR(ISNUMBER(SEARCH("Melee",$L197)),ISNUMBER(SEARCH("Bypass",$L197))),1.5,1)</f>
        <v>0</v>
      </c>
      <c r="AB197" s="17" cm="1">
        <f t="array" ref="AB197">$H197 *
IF(ISNUMBER(SEARCH("Rapid",$L197)),7/6,1) *
IF(OR(ISNUMBER(SEARCH("Beam",$L197)),ISNUMBER(SEARCH("Firestorm",$L197))),1, IF(ISNUMBER(SEARCH("Blast",$L197)),(4+$F197+(2-$F197)*0.5)/6*2,(4+$F197)/6)) *
IF(ISNUMBER(SEARCH("Fusion",$L197)), _xlfn.IFS(AB$24-$I197 &lt;=1, 9/10, AB$24-$I197 &lt;=10,(11-(AB$24-$I197))/10, AB$24-$I197 &gt;=11, 0),
_xlfn.IFS(AB$24-$I197 &lt;=1, 5/6, AB$24-$I197 &lt;=5, (7-(AB$24-$I197))/6, AND(AB$24-$I197 =6,NOT(_xlfn.IFNA(ISNUMBER(SEARCH("Rending",$L197)),FALSE))), (7-(AB$24-$I197))/6, AND(AB$24-$I197 &gt;=7,NOT(_xlfn.IFNA(ISNUMBER(SEARCH("Rending",$L197)),FALSE))), 0, AB$24-$I197 =7, (7-(AB$24-1-$I197))/6, AB$24-$I197 =8, (7-(AB$24-2-$I197))/6*2/3, AB$24-$I197 =9, (7-(AB$24-3-$I197))/6*1/3, TRUE, 0)) *
IF(ISNUMBER(SEARCH("Ordinance",$L197)),7/6,1) *
IF(OR(ISNUMBER(SEARCH("Melee",$L197)),ISNUMBER(SEARCH("Bypass",$L197))),1.5,1)</f>
        <v>0</v>
      </c>
      <c r="AC197" s="17" cm="1">
        <f t="array" ref="AC197">$H197 *
IF(ISNUMBER(SEARCH("Rapid",$L197)),7/6,1) *
IF(OR(ISNUMBER(SEARCH("Beam",$L197)),ISNUMBER(SEARCH("Firestorm",$L197))),1, IF(ISNUMBER(SEARCH("Blast",$L197)),(4+$F197+(2-$F197)*0.5)/6*2,(4+$F197)/6)) *
IF(ISNUMBER(SEARCH("Fusion",$L197)), _xlfn.IFS(AC$24-$I197 &lt;=1, 9/10, AC$24-$I197 &lt;=10,(11-(AC$24-$I197))/10, AC$24-$I197 &gt;=11, 0),
_xlfn.IFS(AC$24-$I197 &lt;=1, 5/6, AC$24-$I197 &lt;=5, (7-(AC$24-$I197))/6, AND(AC$24-$I197 =6,NOT(_xlfn.IFNA(ISNUMBER(SEARCH("Rending",$L197)),FALSE))), (7-(AC$24-$I197))/6, AND(AC$24-$I197 &gt;=7,NOT(_xlfn.IFNA(ISNUMBER(SEARCH("Rending",$L197)),FALSE))), 0, AC$24-$I197 =7, (7-(AC$24-1-$I197))/6, AC$24-$I197 =8, (7-(AC$24-2-$I197))/6*2/3, AC$24-$I197 =9, (7-(AC$24-3-$I197))/6*1/3, TRUE, 0)) *
IF(ISNUMBER(SEARCH("Ordinance",$L197)),7/6,1) *
IF(OR(ISNUMBER(SEARCH("Melee",$L197)),ISNUMBER(SEARCH("Bypass",$L197))),1.5,1)</f>
        <v>0</v>
      </c>
      <c r="AD197" s="17" cm="1">
        <f t="array" ref="AD197">$H197 *
IF(ISNUMBER(SEARCH("Rapid",$L197)),7/6,1) *
IF(OR(ISNUMBER(SEARCH("Beam",$L197)),ISNUMBER(SEARCH("Firestorm",$L197))),1, IF(ISNUMBER(SEARCH("Blast",$L197)),(4+$F197+(2-$F197)*0.5)/6*2,(4+$F197)/6)) *
IF(ISNUMBER(SEARCH("Fusion",$L197)), _xlfn.IFS(AD$24-$I197 &lt;=1, 9/10, AD$24-$I197 &lt;=10,(11-(AD$24-$I197))/10, AD$24-$I197 &gt;=11, 0),
_xlfn.IFS(AD$24-$I197 &lt;=1, 5/6, AD$24-$I197 &lt;=5, (7-(AD$24-$I197))/6, AND(AD$24-$I197 =6,NOT(_xlfn.IFNA(ISNUMBER(SEARCH("Rending",$L197)),FALSE))), (7-(AD$24-$I197))/6, AND(AD$24-$I197 &gt;=7,NOT(_xlfn.IFNA(ISNUMBER(SEARCH("Rending",$L197)),FALSE))), 0, AD$24-$I197 =7, (7-(AD$24-1-$I197))/6, AD$24-$I197 =8, (7-(AD$24-2-$I197))/6*2/3, AD$24-$I197 =9, (7-(AD$24-3-$I197))/6*1/3, TRUE, 0)) *
IF(ISNUMBER(SEARCH("Ordinance",$L197)),7/6,1) *
IF(OR(ISNUMBER(SEARCH("Melee",$L197)),ISNUMBER(SEARCH("Bypass",$L197))),1.5,1)</f>
        <v>0</v>
      </c>
      <c r="AE197" s="17" cm="1">
        <f t="array" ref="AE197">$H197 *
IF(ISNUMBER(SEARCH("Rapid",$L197)),7/6,1) *
IF(OR(ISNUMBER(SEARCH("Beam",$L197)),ISNUMBER(SEARCH("Firestorm",$L197))),1, IF(ISNUMBER(SEARCH("Blast",$L197)),(4+$F197+(2-$F197)*0.5)/6*2,(4+$F197)/6)) *
IF(ISNUMBER(SEARCH("Fusion",$L197)), _xlfn.IFS(AE$24-$I197 &lt;=1, 9/10, AE$24-$I197 &lt;=10,(11-(AE$24-$I197))/10, AE$24-$I197 &gt;=11, 0),
_xlfn.IFS(AE$24-$I197 &lt;=1, 5/6, AE$24-$I197 &lt;=5, (7-(AE$24-$I197))/6, AND(AE$24-$I197 =6,NOT(_xlfn.IFNA(ISNUMBER(SEARCH("Rending",$L197)),FALSE))), (7-(AE$24-$I197))/6, AND(AE$24-$I197 &gt;=7,NOT(_xlfn.IFNA(ISNUMBER(SEARCH("Rending",$L197)),FALSE))), 0, AE$24-$I197 =7, (7-(AE$24-1-$I197))/6, AE$24-$I197 =8, (7-(AE$24-2-$I197))/6*2/3, AE$24-$I197 =9, (7-(AE$24-3-$I197))/6*1/3, TRUE, 0)) *
IF(ISNUMBER(SEARCH("Ordinance",$L197)),7/6,1) *
IF(OR(ISNUMBER(SEARCH("Melee",$L197)),ISNUMBER(SEARCH("Bypass",$L197))),1.5,1)</f>
        <v>0</v>
      </c>
      <c r="AF197" s="17" cm="1">
        <f t="array" ref="AF197">$H197 *
IF(ISNUMBER(SEARCH("Rapid",$L197)),7/6,1) *
IF(OR(ISNUMBER(SEARCH("Beam",$L197)),ISNUMBER(SEARCH("Firestorm",$L197))),1, IF(ISNUMBER(SEARCH("Blast",$L197)),(4+$F197+(2-$F197)*0.5)/6*2,(4+$F197)/6)) *
IF(ISNUMBER(SEARCH("Fusion",$L197)), _xlfn.IFS(AF$24-$I197 &lt;=1, 9/10, AF$24-$I197 &lt;=10,(11-(AF$24-$I197))/10, AF$24-$I197 &gt;=11, 0),
_xlfn.IFS(AF$24-$I197 &lt;=1, 5/6, AF$24-$I197 &lt;=5, (7-(AF$24-$I197))/6, AND(AF$24-$I197 =6,NOT(_xlfn.IFNA(ISNUMBER(SEARCH("Rending",$L197)),FALSE))), (7-(AF$24-$I197))/6, AND(AF$24-$I197 &gt;=7,NOT(_xlfn.IFNA(ISNUMBER(SEARCH("Rending",$L197)),FALSE))), 0, AF$24-$I197 =7, (7-(AF$24-1-$I197))/6, AF$24-$I197 =8, (7-(AF$24-2-$I197))/6*2/3, AF$24-$I197 =9, (7-(AF$24-3-$I197))/6*1/3, TRUE, 0)) *
IF(ISNUMBER(SEARCH("Ordinance",$L197)),7/6,1) *
IF(OR(ISNUMBER(SEARCH("Melee",$L197)),ISNUMBER(SEARCH("Bypass",$L197))),1.5,1)</f>
        <v>0</v>
      </c>
      <c r="AG197" s="16">
        <f t="shared" si="53"/>
        <v>0</v>
      </c>
      <c r="AH197" s="16">
        <f t="shared" si="54"/>
        <v>0</v>
      </c>
      <c r="AI197" s="17" cm="1">
        <f t="array" ref="AI197">$H197 *
IF(ISNUMBER(SEARCH("Rapid",$L197)),7/6,1) *
IF(OR(ISNUMBER(SEARCH("Beam",$L197)),ISNUMBER(SEARCH("Firestorm",$L197))),1, IF(ISNUMBER(SEARCH("Blast",$L197)),(4+$G197+(2-$G197)*0.5)/6*2,(4+$G197)/6)) *
_xlfn.IFS(AI$24-$I197 &lt;=1, 5/6, AI$24-$I197 &lt;=5, (7-(AI$24-$I197))/6, AND(AI$24-$I197 =6,NOT(_xlfn.IFNA(ISNUMBER(SEARCH("Rending",$L197)),FALSE))), (7-(AI$24-$I197))/6, AND(AI$24-$I197 &gt;=7,NOT(_xlfn.IFNA(ISNUMBER(SEARCH("Rending",$L197)),FALSE))), 0, AI$24-$I197 =7, (7-(AI$24-1-$I197))/6, AI$24-$I197 =8, (7-(AI$24-2-$I197))/6*2/3, AI$24-$I197 =9, (7-(AI$24-3-$I197))/6*1/3, TRUE, 0) *
IF(ISNUMBER(SEARCH("Ordinance",$L197)),7/6,1) *
IF(OR(ISNUMBER(SEARCH("Melee",$L197)),ISNUMBER(SEARCH("Bypass",$L197))),1.5,1)</f>
        <v>0</v>
      </c>
      <c r="AJ197" s="17" cm="1">
        <f t="array" ref="AJ197">$H197 *
IF(ISNUMBER(SEARCH("Rapid",$L197)),7/6,1) *
IF(OR(ISNUMBER(SEARCH("Beam",$L197)),ISNUMBER(SEARCH("Firestorm",$L197))),1, IF(ISNUMBER(SEARCH("Blast",$L197)),(4+$G197+(2-$G197)*0.5)/6*2,(4+$G197)/6)) *
_xlfn.IFS(AJ$24-$I197 &lt;=1, 5/6, AJ$24-$I197 &lt;=5, (7-(AJ$24-$I197))/6, AND(AJ$24-$I197 =6,NOT(_xlfn.IFNA(ISNUMBER(SEARCH("Rending",$L197)),FALSE))), (7-(AJ$24-$I197))/6, AND(AJ$24-$I197 &gt;=7,NOT(_xlfn.IFNA(ISNUMBER(SEARCH("Rending",$L197)),FALSE))), 0, AJ$24-$I197 =7, (7-(AJ$24-1-$I197))/6, AJ$24-$I197 =8, (7-(AJ$24-2-$I197))/6*2/3, AJ$24-$I197 =9, (7-(AJ$24-3-$I197))/6*1/3, TRUE, 0) *
IF(ISNUMBER(SEARCH("Ordinance",$L197)),7/6,1) *
IF(OR(ISNUMBER(SEARCH("Melee",$L197)),ISNUMBER(SEARCH("Bypass",$L197))),1.5,1)</f>
        <v>0</v>
      </c>
      <c r="AK197" s="17" cm="1">
        <f t="array" ref="AK197">$H197 *
IF(ISNUMBER(SEARCH("Rapid",$L197)),7/6,1) *
IF(OR(ISNUMBER(SEARCH("Beam",$L197)),ISNUMBER(SEARCH("Firestorm",$L197))),1, IF(ISNUMBER(SEARCH("Blast",$L197)),(4+$G197+(2-$G197)*0.5)/6*2,(4+$G197)/6)) *
_xlfn.IFS(AK$24-$I197 &lt;=1, 5/6, AK$24-$I197 &lt;=5, (7-(AK$24-$I197))/6, AND(AK$24-$I197 =6,NOT(_xlfn.IFNA(ISNUMBER(SEARCH("Rending",$L197)),FALSE))), (7-(AK$24-$I197))/6, AND(AK$24-$I197 &gt;=7,NOT(_xlfn.IFNA(ISNUMBER(SEARCH("Rending",$L197)),FALSE))), 0, AK$24-$I197 =7, (7-(AK$24-1-$I197))/6, AK$24-$I197 =8, (7-(AK$24-2-$I197))/6*2/3, AK$24-$I197 =9, (7-(AK$24-3-$I197))/6*1/3, TRUE, 0) *
IF(ISNUMBER(SEARCH("Ordinance",$L197)),7/6,1) *
IF(OR(ISNUMBER(SEARCH("Melee",$L197)),ISNUMBER(SEARCH("Bypass",$L197))),1.5,1)</f>
        <v>0</v>
      </c>
      <c r="AL197" s="17" cm="1">
        <f t="array" ref="AL197">$H197 *
IF(ISNUMBER(SEARCH("Rapid",$L197)),7/6,1) *
IF(OR(ISNUMBER(SEARCH("Beam",$L197)),ISNUMBER(SEARCH("Firestorm",$L197))),1, IF(ISNUMBER(SEARCH("Blast",$L197)),(4+$G197+(2-$G197)*0.5)/6*2,(4+$G197)/6)) *
_xlfn.IFS(AL$24-$I197 &lt;=1, 5/6, AL$24-$I197 &lt;=5, (7-(AL$24-$I197))/6, AND(AL$24-$I197 =6,NOT(_xlfn.IFNA(ISNUMBER(SEARCH("Rending",$L197)),FALSE))), (7-(AL$24-$I197))/6, AND(AL$24-$I197 &gt;=7,NOT(_xlfn.IFNA(ISNUMBER(SEARCH("Rending",$L197)),FALSE))), 0, AL$24-$I197 =7, (7-(AL$24-1-$I197))/6, AL$24-$I197 =8, (7-(AL$24-2-$I197))/6*2/3, AL$24-$I197 =9, (7-(AL$24-3-$I197))/6*1/3, TRUE, 0) *
IF(ISNUMBER(SEARCH("Ordinance",$L197)),7/6,1) *
IF(OR(ISNUMBER(SEARCH("Melee",$L197)),ISNUMBER(SEARCH("Bypass",$L197))),1.5,1)</f>
        <v>0</v>
      </c>
      <c r="AM197" s="17" cm="1">
        <f t="array" ref="AM197">$H197 *
IF(ISNUMBER(SEARCH("Rapid",$L197)),7/6,1) *
IF(OR(ISNUMBER(SEARCH("Beam",$L197)),ISNUMBER(SEARCH("Firestorm",$L197))),1, IF(ISNUMBER(SEARCH("Blast",$L197)),(4+$G197+(2-$G197)*0.5)/6*2,(4+$G197)/6)) *
_xlfn.IFS(AM$24-$I197 &lt;=1, 5/6, AM$24-$I197 &lt;=5, (7-(AM$24-$I197))/6, AND(AM$24-$I197 =6,NOT(_xlfn.IFNA(ISNUMBER(SEARCH("Rending",$L197)),FALSE))), (7-(AM$24-$I197))/6, AND(AM$24-$I197 &gt;=7,NOT(_xlfn.IFNA(ISNUMBER(SEARCH("Rending",$L197)),FALSE))), 0, AM$24-$I197 =7, (7-(AM$24-1-$I197))/6, AM$24-$I197 =8, (7-(AM$24-2-$I197))/6*2/3, AM$24-$I197 =9, (7-(AM$24-3-$I197))/6*1/3, TRUE, 0) *
IF(ISNUMBER(SEARCH("Ordinance",$L197)),7/6,1) *
IF(OR(ISNUMBER(SEARCH("Melee",$L197)),ISNUMBER(SEARCH("Bypass",$L197))),1.5,1)</f>
        <v>0</v>
      </c>
      <c r="AN197" s="17" cm="1">
        <f t="array" ref="AN197">$H197 *
IF(ISNUMBER(SEARCH("Rapid",$L197)),7/6,1) *
IF(OR(ISNUMBER(SEARCH("Beam",$L197)),ISNUMBER(SEARCH("Firestorm",$L197))),1, IF(ISNUMBER(SEARCH("Blast",$L197)),(4+$G197+(2-$G197)*0.5)/6*2,(4+$G197)/6)) *
_xlfn.IFS(AN$24-$I197 &lt;=1, 5/6, AN$24-$I197 &lt;=5, (7-(AN$24-$I197))/6, AND(AN$24-$I197 =6,NOT(_xlfn.IFNA(ISNUMBER(SEARCH("Rending",$L197)),FALSE))), (7-(AN$24-$I197))/6, AND(AN$24-$I197 &gt;=7,NOT(_xlfn.IFNA(ISNUMBER(SEARCH("Rending",$L197)),FALSE))), 0, AN$24-$I197 =7, (7-(AN$24-1-$I197))/6, AN$24-$I197 =8, (7-(AN$24-2-$I197))/6*2/3, AN$24-$I197 =9, (7-(AN$24-3-$I197))/6*1/3, TRUE, 0) *
IF(ISNUMBER(SEARCH("Ordinance",$L197)),7/6,1) *
IF(OR(ISNUMBER(SEARCH("Melee",$L197)),ISNUMBER(SEARCH("Bypass",$L197))),1.5,1)</f>
        <v>0</v>
      </c>
      <c r="AO197" s="17" cm="1">
        <f t="array" ref="AO197">$H197 *
IF(ISNUMBER(SEARCH("Rapid",$L197)),7/6,1) *
IF(OR(ISNUMBER(SEARCH("Beam",$L197)),ISNUMBER(SEARCH("Firestorm",$L197))),1, IF(ISNUMBER(SEARCH("Blast",$L197)),(4+$G197+(2-$G197)*0.5)/6*2,(4+$G197)/6)) *
_xlfn.IFS(AO$24-$I197 &lt;=1, 5/6, AO$24-$I197 &lt;=5, (7-(AO$24-$I197))/6, AND(AO$24-$I197 =6,NOT(_xlfn.IFNA(ISNUMBER(SEARCH("Rending",$L197)),FALSE))), (7-(AO$24-$I197))/6, AND(AO$24-$I197 &gt;=7,NOT(_xlfn.IFNA(ISNUMBER(SEARCH("Rending",$L197)),FALSE))), 0, AO$24-$I197 =7, (7-(AO$24-1-$I197))/6, AO$24-$I197 =8, (7-(AO$24-2-$I197))/6*2/3, AO$24-$I197 =9, (7-(AO$24-3-$I197))/6*1/3, TRUE, 0) *
IF(ISNUMBER(SEARCH("Ordinance",$L197)),7/6,1) *
IF(OR(ISNUMBER(SEARCH("Melee",$L197)),ISNUMBER(SEARCH("Bypass",$L197))),1.5,1)</f>
        <v>0</v>
      </c>
      <c r="AP197" s="17" cm="1">
        <f t="array" ref="AP197">$H197 *
IF(ISNUMBER(SEARCH("Rapid",$L197)),7/6,1) *
IF(OR(ISNUMBER(SEARCH("Beam",$L197)),ISNUMBER(SEARCH("Firestorm",$L197))),1, IF(ISNUMBER(SEARCH("Blast",$L197)),(4+$G197+(2-$G197)*0.5)/6*2,(4+$G197)/6)) *
_xlfn.IFS(AP$24-$I197 &lt;=1, 5/6, AP$24-$I197 &lt;=5, (7-(AP$24-$I197))/6, AND(AP$24-$I197 =6,NOT(_xlfn.IFNA(ISNUMBER(SEARCH("Rending",$L197)),FALSE))), (7-(AP$24-$I197))/6, AND(AP$24-$I197 &gt;=7,NOT(_xlfn.IFNA(ISNUMBER(SEARCH("Rending",$L197)),FALSE))), 0, AP$24-$I197 =7, (7-(AP$24-1-$I197))/6, AP$24-$I197 =8, (7-(AP$24-2-$I197))/6*2/3, AP$24-$I197 =9, (7-(AP$24-3-$I197))/6*1/3, TRUE, 0) *
IF(ISNUMBER(SEARCH("Ordinance",$L197)),7/6,1) *
IF(OR(ISNUMBER(SEARCH("Melee",$L197)),ISNUMBER(SEARCH("Bypass",$L197))),1.5,1)</f>
        <v>0</v>
      </c>
      <c r="AQ197" s="17" cm="1">
        <f t="array" ref="AQ197">$H197 *
IF(ISNUMBER(SEARCH("Rapid",$L197)),7/6,1) *
IF(OR(ISNUMBER(SEARCH("Beam",$L197)),ISNUMBER(SEARCH("Firestorm",$L197))),1, IF(ISNUMBER(SEARCH("Blast",$L197)),(4+$G197+(2-$G197)*0.5)/6*2,(4+$G197)/6)) *
_xlfn.IFS(AQ$24-$I197 &lt;=1, 5/6, AQ$24-$I197 &lt;=5, (7-(AQ$24-$I197))/6, AND(AQ$24-$I197 =6,NOT(_xlfn.IFNA(ISNUMBER(SEARCH("Rending",$L197)),FALSE))), (7-(AQ$24-$I197))/6, AND(AQ$24-$I197 &gt;=7,NOT(_xlfn.IFNA(ISNUMBER(SEARCH("Rending",$L197)),FALSE))), 0, AQ$24-$I197 =7, (7-(AQ$24-1-$I197))/6, AQ$24-$I197 =8, (7-(AQ$24-2-$I197))/6*2/3, AQ$24-$I197 =9, (7-(AQ$24-3-$I197))/6*1/3, TRUE, 0) *
IF(ISNUMBER(SEARCH("Ordinance",$L197)),7/6,1) *
IF(OR(ISNUMBER(SEARCH("Melee",$L197)),ISNUMBER(SEARCH("Bypass",$L197))),1.5,1)</f>
        <v>0</v>
      </c>
    </row>
    <row r="198" spans="1:48" x14ac:dyDescent="0.3">
      <c r="F198" s="10"/>
      <c r="G198" s="10"/>
      <c r="V198" s="16">
        <f t="shared" si="51"/>
        <v>0</v>
      </c>
      <c r="W198" s="16">
        <f t="shared" si="52"/>
        <v>0</v>
      </c>
      <c r="X198" s="17" cm="1">
        <f t="array" ref="X198">$H198 *
IF(ISNUMBER(SEARCH("Rapid",$L198)),7/6,1) *
IF(OR(ISNUMBER(SEARCH("Beam",$L198)),ISNUMBER(SEARCH("Firestorm",$L198))),1, IF(ISNUMBER(SEARCH("Blast",$L198)),(4+$F198+(2-$F198)*0.5)/6*2,(4+$F198)/6)) *
IF(ISNUMBER(SEARCH("Fusion",$L198)), _xlfn.IFS(X$24-$I198 &lt;=1, 9/10, X$24-$I198 &lt;=10,(11-(X$24-$I198))/10, X$24-$I198 &gt;=11, 0),
_xlfn.IFS(X$24-$I198 &lt;=1, 5/6, X$24-$I198 &lt;=5, (7-(X$24-$I198))/6, AND(X$24-$I198 =6,NOT(_xlfn.IFNA(ISNUMBER(SEARCH("Rending",$L198)),FALSE))), (7-(X$24-$I198))/6, AND(X$24-$I198 &gt;=7,NOT(_xlfn.IFNA(ISNUMBER(SEARCH("Rending",$L198)),FALSE))), 0, X$24-$I198 =7, (7-(X$24-1-$I198))/6, X$24-$I198 =8, (7-(X$24-2-$I198))/6*2/3, X$24-$I198 =9, (7-(X$24-3-$I198))/6*1/3, TRUE, 0)) *
IF(ISNUMBER(SEARCH("Ordinance",$L198)),7/6,1) *
IF(OR(ISNUMBER(SEARCH("Melee",$L198)),ISNUMBER(SEARCH("Bypass",$L198))),1.5,1)</f>
        <v>0</v>
      </c>
      <c r="Y198" s="17" cm="1">
        <f t="array" ref="Y198">$H198 *
IF(ISNUMBER(SEARCH("Rapid",$L198)),7/6,1) *
IF(OR(ISNUMBER(SEARCH("Beam",$L198)),ISNUMBER(SEARCH("Firestorm",$L198))),1, IF(ISNUMBER(SEARCH("Blast",$L198)),(4+$F198+(2-$F198)*0.5)/6*2,(4+$F198)/6)) *
IF(ISNUMBER(SEARCH("Fusion",$L198)), _xlfn.IFS(Y$24-$I198 &lt;=1, 9/10, Y$24-$I198 &lt;=10,(11-(Y$24-$I198))/10, Y$24-$I198 &gt;=11, 0),
_xlfn.IFS(Y$24-$I198 &lt;=1, 5/6, Y$24-$I198 &lt;=5, (7-(Y$24-$I198))/6, AND(Y$24-$I198 =6,NOT(_xlfn.IFNA(ISNUMBER(SEARCH("Rending",$L198)),FALSE))), (7-(Y$24-$I198))/6, AND(Y$24-$I198 &gt;=7,NOT(_xlfn.IFNA(ISNUMBER(SEARCH("Rending",$L198)),FALSE))), 0, Y$24-$I198 =7, (7-(Y$24-1-$I198))/6, Y$24-$I198 =8, (7-(Y$24-2-$I198))/6*2/3, Y$24-$I198 =9, (7-(Y$24-3-$I198))/6*1/3, TRUE, 0)) *
IF(ISNUMBER(SEARCH("Ordinance",$L198)),7/6,1) *
IF(OR(ISNUMBER(SEARCH("Melee",$L198)),ISNUMBER(SEARCH("Bypass",$L198))),1.5,1)</f>
        <v>0</v>
      </c>
      <c r="Z198" s="17" cm="1">
        <f t="array" ref="Z198">$H198 *
IF(ISNUMBER(SEARCH("Rapid",$L198)),7/6,1) *
IF(OR(ISNUMBER(SEARCH("Beam",$L198)),ISNUMBER(SEARCH("Firestorm",$L198))),1, IF(ISNUMBER(SEARCH("Blast",$L198)),(4+$F198+(2-$F198)*0.5)/6*2,(4+$F198)/6)) *
IF(ISNUMBER(SEARCH("Fusion",$L198)), _xlfn.IFS(Z$24-$I198 &lt;=1, 9/10, Z$24-$I198 &lt;=10,(11-(Z$24-$I198))/10, Z$24-$I198 &gt;=11, 0),
_xlfn.IFS(Z$24-$I198 &lt;=1, 5/6, Z$24-$I198 &lt;=5, (7-(Z$24-$I198))/6, AND(Z$24-$I198 =6,NOT(_xlfn.IFNA(ISNUMBER(SEARCH("Rending",$L198)),FALSE))), (7-(Z$24-$I198))/6, AND(Z$24-$I198 &gt;=7,NOT(_xlfn.IFNA(ISNUMBER(SEARCH("Rending",$L198)),FALSE))), 0, Z$24-$I198 =7, (7-(Z$24-1-$I198))/6, Z$24-$I198 =8, (7-(Z$24-2-$I198))/6*2/3, Z$24-$I198 =9, (7-(Z$24-3-$I198))/6*1/3, TRUE, 0)) *
IF(ISNUMBER(SEARCH("Ordinance",$L198)),7/6,1) *
IF(OR(ISNUMBER(SEARCH("Melee",$L198)),ISNUMBER(SEARCH("Bypass",$L198))),1.5,1)</f>
        <v>0</v>
      </c>
      <c r="AA198" s="17" cm="1">
        <f t="array" ref="AA198">$H198 *
IF(ISNUMBER(SEARCH("Rapid",$L198)),7/6,1) *
IF(OR(ISNUMBER(SEARCH("Beam",$L198)),ISNUMBER(SEARCH("Firestorm",$L198))),1, IF(ISNUMBER(SEARCH("Blast",$L198)),(4+$F198+(2-$F198)*0.5)/6*2,(4+$F198)/6)) *
IF(ISNUMBER(SEARCH("Fusion",$L198)), _xlfn.IFS(AA$24-$I198 &lt;=1, 9/10, AA$24-$I198 &lt;=10,(11-(AA$24-$I198))/10, AA$24-$I198 &gt;=11, 0),
_xlfn.IFS(AA$24-$I198 &lt;=1, 5/6, AA$24-$I198 &lt;=5, (7-(AA$24-$I198))/6, AND(AA$24-$I198 =6,NOT(_xlfn.IFNA(ISNUMBER(SEARCH("Rending",$L198)),FALSE))), (7-(AA$24-$I198))/6, AND(AA$24-$I198 &gt;=7,NOT(_xlfn.IFNA(ISNUMBER(SEARCH("Rending",$L198)),FALSE))), 0, AA$24-$I198 =7, (7-(AA$24-1-$I198))/6, AA$24-$I198 =8, (7-(AA$24-2-$I198))/6*2/3, AA$24-$I198 =9, (7-(AA$24-3-$I198))/6*1/3, TRUE, 0)) *
IF(ISNUMBER(SEARCH("Ordinance",$L198)),7/6,1) *
IF(OR(ISNUMBER(SEARCH("Melee",$L198)),ISNUMBER(SEARCH("Bypass",$L198))),1.5,1)</f>
        <v>0</v>
      </c>
      <c r="AB198" s="17" cm="1">
        <f t="array" ref="AB198">$H198 *
IF(ISNUMBER(SEARCH("Rapid",$L198)),7/6,1) *
IF(OR(ISNUMBER(SEARCH("Beam",$L198)),ISNUMBER(SEARCH("Firestorm",$L198))),1, IF(ISNUMBER(SEARCH("Blast",$L198)),(4+$F198+(2-$F198)*0.5)/6*2,(4+$F198)/6)) *
IF(ISNUMBER(SEARCH("Fusion",$L198)), _xlfn.IFS(AB$24-$I198 &lt;=1, 9/10, AB$24-$I198 &lt;=10,(11-(AB$24-$I198))/10, AB$24-$I198 &gt;=11, 0),
_xlfn.IFS(AB$24-$I198 &lt;=1, 5/6, AB$24-$I198 &lt;=5, (7-(AB$24-$I198))/6, AND(AB$24-$I198 =6,NOT(_xlfn.IFNA(ISNUMBER(SEARCH("Rending",$L198)),FALSE))), (7-(AB$24-$I198))/6, AND(AB$24-$I198 &gt;=7,NOT(_xlfn.IFNA(ISNUMBER(SEARCH("Rending",$L198)),FALSE))), 0, AB$24-$I198 =7, (7-(AB$24-1-$I198))/6, AB$24-$I198 =8, (7-(AB$24-2-$I198))/6*2/3, AB$24-$I198 =9, (7-(AB$24-3-$I198))/6*1/3, TRUE, 0)) *
IF(ISNUMBER(SEARCH("Ordinance",$L198)),7/6,1) *
IF(OR(ISNUMBER(SEARCH("Melee",$L198)),ISNUMBER(SEARCH("Bypass",$L198))),1.5,1)</f>
        <v>0</v>
      </c>
      <c r="AC198" s="17" cm="1">
        <f t="array" ref="AC198">$H198 *
IF(ISNUMBER(SEARCH("Rapid",$L198)),7/6,1) *
IF(OR(ISNUMBER(SEARCH("Beam",$L198)),ISNUMBER(SEARCH("Firestorm",$L198))),1, IF(ISNUMBER(SEARCH("Blast",$L198)),(4+$F198+(2-$F198)*0.5)/6*2,(4+$F198)/6)) *
IF(ISNUMBER(SEARCH("Fusion",$L198)), _xlfn.IFS(AC$24-$I198 &lt;=1, 9/10, AC$24-$I198 &lt;=10,(11-(AC$24-$I198))/10, AC$24-$I198 &gt;=11, 0),
_xlfn.IFS(AC$24-$I198 &lt;=1, 5/6, AC$24-$I198 &lt;=5, (7-(AC$24-$I198))/6, AND(AC$24-$I198 =6,NOT(_xlfn.IFNA(ISNUMBER(SEARCH("Rending",$L198)),FALSE))), (7-(AC$24-$I198))/6, AND(AC$24-$I198 &gt;=7,NOT(_xlfn.IFNA(ISNUMBER(SEARCH("Rending",$L198)),FALSE))), 0, AC$24-$I198 =7, (7-(AC$24-1-$I198))/6, AC$24-$I198 =8, (7-(AC$24-2-$I198))/6*2/3, AC$24-$I198 =9, (7-(AC$24-3-$I198))/6*1/3, TRUE, 0)) *
IF(ISNUMBER(SEARCH("Ordinance",$L198)),7/6,1) *
IF(OR(ISNUMBER(SEARCH("Melee",$L198)),ISNUMBER(SEARCH("Bypass",$L198))),1.5,1)</f>
        <v>0</v>
      </c>
      <c r="AD198" s="17" cm="1">
        <f t="array" ref="AD198">$H198 *
IF(ISNUMBER(SEARCH("Rapid",$L198)),7/6,1) *
IF(OR(ISNUMBER(SEARCH("Beam",$L198)),ISNUMBER(SEARCH("Firestorm",$L198))),1, IF(ISNUMBER(SEARCH("Blast",$L198)),(4+$F198+(2-$F198)*0.5)/6*2,(4+$F198)/6)) *
IF(ISNUMBER(SEARCH("Fusion",$L198)), _xlfn.IFS(AD$24-$I198 &lt;=1, 9/10, AD$24-$I198 &lt;=10,(11-(AD$24-$I198))/10, AD$24-$I198 &gt;=11, 0),
_xlfn.IFS(AD$24-$I198 &lt;=1, 5/6, AD$24-$I198 &lt;=5, (7-(AD$24-$I198))/6, AND(AD$24-$I198 =6,NOT(_xlfn.IFNA(ISNUMBER(SEARCH("Rending",$L198)),FALSE))), (7-(AD$24-$I198))/6, AND(AD$24-$I198 &gt;=7,NOT(_xlfn.IFNA(ISNUMBER(SEARCH("Rending",$L198)),FALSE))), 0, AD$24-$I198 =7, (7-(AD$24-1-$I198))/6, AD$24-$I198 =8, (7-(AD$24-2-$I198))/6*2/3, AD$24-$I198 =9, (7-(AD$24-3-$I198))/6*1/3, TRUE, 0)) *
IF(ISNUMBER(SEARCH("Ordinance",$L198)),7/6,1) *
IF(OR(ISNUMBER(SEARCH("Melee",$L198)),ISNUMBER(SEARCH("Bypass",$L198))),1.5,1)</f>
        <v>0</v>
      </c>
      <c r="AE198" s="17" cm="1">
        <f t="array" ref="AE198">$H198 *
IF(ISNUMBER(SEARCH("Rapid",$L198)),7/6,1) *
IF(OR(ISNUMBER(SEARCH("Beam",$L198)),ISNUMBER(SEARCH("Firestorm",$L198))),1, IF(ISNUMBER(SEARCH("Blast",$L198)),(4+$F198+(2-$F198)*0.5)/6*2,(4+$F198)/6)) *
IF(ISNUMBER(SEARCH("Fusion",$L198)), _xlfn.IFS(AE$24-$I198 &lt;=1, 9/10, AE$24-$I198 &lt;=10,(11-(AE$24-$I198))/10, AE$24-$I198 &gt;=11, 0),
_xlfn.IFS(AE$24-$I198 &lt;=1, 5/6, AE$24-$I198 &lt;=5, (7-(AE$24-$I198))/6, AND(AE$24-$I198 =6,NOT(_xlfn.IFNA(ISNUMBER(SEARCH("Rending",$L198)),FALSE))), (7-(AE$24-$I198))/6, AND(AE$24-$I198 &gt;=7,NOT(_xlfn.IFNA(ISNUMBER(SEARCH("Rending",$L198)),FALSE))), 0, AE$24-$I198 =7, (7-(AE$24-1-$I198))/6, AE$24-$I198 =8, (7-(AE$24-2-$I198))/6*2/3, AE$24-$I198 =9, (7-(AE$24-3-$I198))/6*1/3, TRUE, 0)) *
IF(ISNUMBER(SEARCH("Ordinance",$L198)),7/6,1) *
IF(OR(ISNUMBER(SEARCH("Melee",$L198)),ISNUMBER(SEARCH("Bypass",$L198))),1.5,1)</f>
        <v>0</v>
      </c>
      <c r="AF198" s="17" cm="1">
        <f t="array" ref="AF198">$H198 *
IF(ISNUMBER(SEARCH("Rapid",$L198)),7/6,1) *
IF(OR(ISNUMBER(SEARCH("Beam",$L198)),ISNUMBER(SEARCH("Firestorm",$L198))),1, IF(ISNUMBER(SEARCH("Blast",$L198)),(4+$F198+(2-$F198)*0.5)/6*2,(4+$F198)/6)) *
IF(ISNUMBER(SEARCH("Fusion",$L198)), _xlfn.IFS(AF$24-$I198 &lt;=1, 9/10, AF$24-$I198 &lt;=10,(11-(AF$24-$I198))/10, AF$24-$I198 &gt;=11, 0),
_xlfn.IFS(AF$24-$I198 &lt;=1, 5/6, AF$24-$I198 &lt;=5, (7-(AF$24-$I198))/6, AND(AF$24-$I198 =6,NOT(_xlfn.IFNA(ISNUMBER(SEARCH("Rending",$L198)),FALSE))), (7-(AF$24-$I198))/6, AND(AF$24-$I198 &gt;=7,NOT(_xlfn.IFNA(ISNUMBER(SEARCH("Rending",$L198)),FALSE))), 0, AF$24-$I198 =7, (7-(AF$24-1-$I198))/6, AF$24-$I198 =8, (7-(AF$24-2-$I198))/6*2/3, AF$24-$I198 =9, (7-(AF$24-3-$I198))/6*1/3, TRUE, 0)) *
IF(ISNUMBER(SEARCH("Ordinance",$L198)),7/6,1) *
IF(OR(ISNUMBER(SEARCH("Melee",$L198)),ISNUMBER(SEARCH("Bypass",$L198))),1.5,1)</f>
        <v>0</v>
      </c>
      <c r="AG198" s="16">
        <f t="shared" si="53"/>
        <v>0</v>
      </c>
      <c r="AH198" s="16">
        <f t="shared" si="54"/>
        <v>0</v>
      </c>
      <c r="AI198" s="17" cm="1">
        <f t="array" ref="AI198">$H198 *
IF(ISNUMBER(SEARCH("Rapid",$L198)),7/6,1) *
IF(OR(ISNUMBER(SEARCH("Beam",$L198)),ISNUMBER(SEARCH("Firestorm",$L198))),1, IF(ISNUMBER(SEARCH("Blast",$L198)),(4+$G198+(2-$G198)*0.5)/6*2,(4+$G198)/6)) *
_xlfn.IFS(AI$24-$I198 &lt;=1, 5/6, AI$24-$I198 &lt;=5, (7-(AI$24-$I198))/6, AND(AI$24-$I198 =6,NOT(_xlfn.IFNA(ISNUMBER(SEARCH("Rending",$L198)),FALSE))), (7-(AI$24-$I198))/6, AND(AI$24-$I198 &gt;=7,NOT(_xlfn.IFNA(ISNUMBER(SEARCH("Rending",$L198)),FALSE))), 0, AI$24-$I198 =7, (7-(AI$24-1-$I198))/6, AI$24-$I198 =8, (7-(AI$24-2-$I198))/6*2/3, AI$24-$I198 =9, (7-(AI$24-3-$I198))/6*1/3, TRUE, 0) *
IF(ISNUMBER(SEARCH("Ordinance",$L198)),7/6,1) *
IF(OR(ISNUMBER(SEARCH("Melee",$L198)),ISNUMBER(SEARCH("Bypass",$L198))),1.5,1)</f>
        <v>0</v>
      </c>
      <c r="AJ198" s="17" cm="1">
        <f t="array" ref="AJ198">$H198 *
IF(ISNUMBER(SEARCH("Rapid",$L198)),7/6,1) *
IF(OR(ISNUMBER(SEARCH("Beam",$L198)),ISNUMBER(SEARCH("Firestorm",$L198))),1, IF(ISNUMBER(SEARCH("Blast",$L198)),(4+$G198+(2-$G198)*0.5)/6*2,(4+$G198)/6)) *
_xlfn.IFS(AJ$24-$I198 &lt;=1, 5/6, AJ$24-$I198 &lt;=5, (7-(AJ$24-$I198))/6, AND(AJ$24-$I198 =6,NOT(_xlfn.IFNA(ISNUMBER(SEARCH("Rending",$L198)),FALSE))), (7-(AJ$24-$I198))/6, AND(AJ$24-$I198 &gt;=7,NOT(_xlfn.IFNA(ISNUMBER(SEARCH("Rending",$L198)),FALSE))), 0, AJ$24-$I198 =7, (7-(AJ$24-1-$I198))/6, AJ$24-$I198 =8, (7-(AJ$24-2-$I198))/6*2/3, AJ$24-$I198 =9, (7-(AJ$24-3-$I198))/6*1/3, TRUE, 0) *
IF(ISNUMBER(SEARCH("Ordinance",$L198)),7/6,1) *
IF(OR(ISNUMBER(SEARCH("Melee",$L198)),ISNUMBER(SEARCH("Bypass",$L198))),1.5,1)</f>
        <v>0</v>
      </c>
      <c r="AK198" s="17" cm="1">
        <f t="array" ref="AK198">$H198 *
IF(ISNUMBER(SEARCH("Rapid",$L198)),7/6,1) *
IF(OR(ISNUMBER(SEARCH("Beam",$L198)),ISNUMBER(SEARCH("Firestorm",$L198))),1, IF(ISNUMBER(SEARCH("Blast",$L198)),(4+$G198+(2-$G198)*0.5)/6*2,(4+$G198)/6)) *
_xlfn.IFS(AK$24-$I198 &lt;=1, 5/6, AK$24-$I198 &lt;=5, (7-(AK$24-$I198))/6, AND(AK$24-$I198 =6,NOT(_xlfn.IFNA(ISNUMBER(SEARCH("Rending",$L198)),FALSE))), (7-(AK$24-$I198))/6, AND(AK$24-$I198 &gt;=7,NOT(_xlfn.IFNA(ISNUMBER(SEARCH("Rending",$L198)),FALSE))), 0, AK$24-$I198 =7, (7-(AK$24-1-$I198))/6, AK$24-$I198 =8, (7-(AK$24-2-$I198))/6*2/3, AK$24-$I198 =9, (7-(AK$24-3-$I198))/6*1/3, TRUE, 0) *
IF(ISNUMBER(SEARCH("Ordinance",$L198)),7/6,1) *
IF(OR(ISNUMBER(SEARCH("Melee",$L198)),ISNUMBER(SEARCH("Bypass",$L198))),1.5,1)</f>
        <v>0</v>
      </c>
      <c r="AL198" s="17" cm="1">
        <f t="array" ref="AL198">$H198 *
IF(ISNUMBER(SEARCH("Rapid",$L198)),7/6,1) *
IF(OR(ISNUMBER(SEARCH("Beam",$L198)),ISNUMBER(SEARCH("Firestorm",$L198))),1, IF(ISNUMBER(SEARCH("Blast",$L198)),(4+$G198+(2-$G198)*0.5)/6*2,(4+$G198)/6)) *
_xlfn.IFS(AL$24-$I198 &lt;=1, 5/6, AL$24-$I198 &lt;=5, (7-(AL$24-$I198))/6, AND(AL$24-$I198 =6,NOT(_xlfn.IFNA(ISNUMBER(SEARCH("Rending",$L198)),FALSE))), (7-(AL$24-$I198))/6, AND(AL$24-$I198 &gt;=7,NOT(_xlfn.IFNA(ISNUMBER(SEARCH("Rending",$L198)),FALSE))), 0, AL$24-$I198 =7, (7-(AL$24-1-$I198))/6, AL$24-$I198 =8, (7-(AL$24-2-$I198))/6*2/3, AL$24-$I198 =9, (7-(AL$24-3-$I198))/6*1/3, TRUE, 0) *
IF(ISNUMBER(SEARCH("Ordinance",$L198)),7/6,1) *
IF(OR(ISNUMBER(SEARCH("Melee",$L198)),ISNUMBER(SEARCH("Bypass",$L198))),1.5,1)</f>
        <v>0</v>
      </c>
      <c r="AM198" s="17" cm="1">
        <f t="array" ref="AM198">$H198 *
IF(ISNUMBER(SEARCH("Rapid",$L198)),7/6,1) *
IF(OR(ISNUMBER(SEARCH("Beam",$L198)),ISNUMBER(SEARCH("Firestorm",$L198))),1, IF(ISNUMBER(SEARCH("Blast",$L198)),(4+$G198+(2-$G198)*0.5)/6*2,(4+$G198)/6)) *
_xlfn.IFS(AM$24-$I198 &lt;=1, 5/6, AM$24-$I198 &lt;=5, (7-(AM$24-$I198))/6, AND(AM$24-$I198 =6,NOT(_xlfn.IFNA(ISNUMBER(SEARCH("Rending",$L198)),FALSE))), (7-(AM$24-$I198))/6, AND(AM$24-$I198 &gt;=7,NOT(_xlfn.IFNA(ISNUMBER(SEARCH("Rending",$L198)),FALSE))), 0, AM$24-$I198 =7, (7-(AM$24-1-$I198))/6, AM$24-$I198 =8, (7-(AM$24-2-$I198))/6*2/3, AM$24-$I198 =9, (7-(AM$24-3-$I198))/6*1/3, TRUE, 0) *
IF(ISNUMBER(SEARCH("Ordinance",$L198)),7/6,1) *
IF(OR(ISNUMBER(SEARCH("Melee",$L198)),ISNUMBER(SEARCH("Bypass",$L198))),1.5,1)</f>
        <v>0</v>
      </c>
      <c r="AN198" s="17" cm="1">
        <f t="array" ref="AN198">$H198 *
IF(ISNUMBER(SEARCH("Rapid",$L198)),7/6,1) *
IF(OR(ISNUMBER(SEARCH("Beam",$L198)),ISNUMBER(SEARCH("Firestorm",$L198))),1, IF(ISNUMBER(SEARCH("Blast",$L198)),(4+$G198+(2-$G198)*0.5)/6*2,(4+$G198)/6)) *
_xlfn.IFS(AN$24-$I198 &lt;=1, 5/6, AN$24-$I198 &lt;=5, (7-(AN$24-$I198))/6, AND(AN$24-$I198 =6,NOT(_xlfn.IFNA(ISNUMBER(SEARCH("Rending",$L198)),FALSE))), (7-(AN$24-$I198))/6, AND(AN$24-$I198 &gt;=7,NOT(_xlfn.IFNA(ISNUMBER(SEARCH("Rending",$L198)),FALSE))), 0, AN$24-$I198 =7, (7-(AN$24-1-$I198))/6, AN$24-$I198 =8, (7-(AN$24-2-$I198))/6*2/3, AN$24-$I198 =9, (7-(AN$24-3-$I198))/6*1/3, TRUE, 0) *
IF(ISNUMBER(SEARCH("Ordinance",$L198)),7/6,1) *
IF(OR(ISNUMBER(SEARCH("Melee",$L198)),ISNUMBER(SEARCH("Bypass",$L198))),1.5,1)</f>
        <v>0</v>
      </c>
      <c r="AO198" s="17" cm="1">
        <f t="array" ref="AO198">$H198 *
IF(ISNUMBER(SEARCH("Rapid",$L198)),7/6,1) *
IF(OR(ISNUMBER(SEARCH("Beam",$L198)),ISNUMBER(SEARCH("Firestorm",$L198))),1, IF(ISNUMBER(SEARCH("Blast",$L198)),(4+$G198+(2-$G198)*0.5)/6*2,(4+$G198)/6)) *
_xlfn.IFS(AO$24-$I198 &lt;=1, 5/6, AO$24-$I198 &lt;=5, (7-(AO$24-$I198))/6, AND(AO$24-$I198 =6,NOT(_xlfn.IFNA(ISNUMBER(SEARCH("Rending",$L198)),FALSE))), (7-(AO$24-$I198))/6, AND(AO$24-$I198 &gt;=7,NOT(_xlfn.IFNA(ISNUMBER(SEARCH("Rending",$L198)),FALSE))), 0, AO$24-$I198 =7, (7-(AO$24-1-$I198))/6, AO$24-$I198 =8, (7-(AO$24-2-$I198))/6*2/3, AO$24-$I198 =9, (7-(AO$24-3-$I198))/6*1/3, TRUE, 0) *
IF(ISNUMBER(SEARCH("Ordinance",$L198)),7/6,1) *
IF(OR(ISNUMBER(SEARCH("Melee",$L198)),ISNUMBER(SEARCH("Bypass",$L198))),1.5,1)</f>
        <v>0</v>
      </c>
      <c r="AP198" s="17" cm="1">
        <f t="array" ref="AP198">$H198 *
IF(ISNUMBER(SEARCH("Rapid",$L198)),7/6,1) *
IF(OR(ISNUMBER(SEARCH("Beam",$L198)),ISNUMBER(SEARCH("Firestorm",$L198))),1, IF(ISNUMBER(SEARCH("Blast",$L198)),(4+$G198+(2-$G198)*0.5)/6*2,(4+$G198)/6)) *
_xlfn.IFS(AP$24-$I198 &lt;=1, 5/6, AP$24-$I198 &lt;=5, (7-(AP$24-$I198))/6, AND(AP$24-$I198 =6,NOT(_xlfn.IFNA(ISNUMBER(SEARCH("Rending",$L198)),FALSE))), (7-(AP$24-$I198))/6, AND(AP$24-$I198 &gt;=7,NOT(_xlfn.IFNA(ISNUMBER(SEARCH("Rending",$L198)),FALSE))), 0, AP$24-$I198 =7, (7-(AP$24-1-$I198))/6, AP$24-$I198 =8, (7-(AP$24-2-$I198))/6*2/3, AP$24-$I198 =9, (7-(AP$24-3-$I198))/6*1/3, TRUE, 0) *
IF(ISNUMBER(SEARCH("Ordinance",$L198)),7/6,1) *
IF(OR(ISNUMBER(SEARCH("Melee",$L198)),ISNUMBER(SEARCH("Bypass",$L198))),1.5,1)</f>
        <v>0</v>
      </c>
      <c r="AQ198" s="17" cm="1">
        <f t="array" ref="AQ198">$H198 *
IF(ISNUMBER(SEARCH("Rapid",$L198)),7/6,1) *
IF(OR(ISNUMBER(SEARCH("Beam",$L198)),ISNUMBER(SEARCH("Firestorm",$L198))),1, IF(ISNUMBER(SEARCH("Blast",$L198)),(4+$G198+(2-$G198)*0.5)/6*2,(4+$G198)/6)) *
_xlfn.IFS(AQ$24-$I198 &lt;=1, 5/6, AQ$24-$I198 &lt;=5, (7-(AQ$24-$I198))/6, AND(AQ$24-$I198 =6,NOT(_xlfn.IFNA(ISNUMBER(SEARCH("Rending",$L198)),FALSE))), (7-(AQ$24-$I198))/6, AND(AQ$24-$I198 &gt;=7,NOT(_xlfn.IFNA(ISNUMBER(SEARCH("Rending",$L198)),FALSE))), 0, AQ$24-$I198 =7, (7-(AQ$24-1-$I198))/6, AQ$24-$I198 =8, (7-(AQ$24-2-$I198))/6*2/3, AQ$24-$I198 =9, (7-(AQ$24-3-$I198))/6*1/3, TRUE, 0) *
IF(ISNUMBER(SEARCH("Ordinance",$L198)),7/6,1) *
IF(OR(ISNUMBER(SEARCH("Melee",$L198)),ISNUMBER(SEARCH("Bypass",$L198))),1.5,1)</f>
        <v>0</v>
      </c>
    </row>
    <row r="199" spans="1:48" x14ac:dyDescent="0.3">
      <c r="F199" s="10"/>
      <c r="G199" s="10"/>
      <c r="V199" s="16">
        <f t="shared" si="51"/>
        <v>0</v>
      </c>
      <c r="W199" s="16">
        <f t="shared" si="52"/>
        <v>0</v>
      </c>
      <c r="X199" s="17" cm="1">
        <f t="array" ref="X199">$H199 *
IF(ISNUMBER(SEARCH("Rapid",$L199)),7/6,1) *
IF(OR(ISNUMBER(SEARCH("Beam",$L199)),ISNUMBER(SEARCH("Firestorm",$L199))),1, IF(ISNUMBER(SEARCH("Blast",$L199)),(4+$F199+(2-$F199)*0.5)/6*2,(4+$F199)/6)) *
IF(ISNUMBER(SEARCH("Fusion",$L199)), _xlfn.IFS(X$24-$I199 &lt;=1, 9/10, X$24-$I199 &lt;=10,(11-(X$24-$I199))/10, X$24-$I199 &gt;=11, 0),
_xlfn.IFS(X$24-$I199 &lt;=1, 5/6, X$24-$I199 &lt;=5, (7-(X$24-$I199))/6, AND(X$24-$I199 =6,NOT(_xlfn.IFNA(ISNUMBER(SEARCH("Rending",$L199)),FALSE))), (7-(X$24-$I199))/6, AND(X$24-$I199 &gt;=7,NOT(_xlfn.IFNA(ISNUMBER(SEARCH("Rending",$L199)),FALSE))), 0, X$24-$I199 =7, (7-(X$24-1-$I199))/6, X$24-$I199 =8, (7-(X$24-2-$I199))/6*2/3, X$24-$I199 =9, (7-(X$24-3-$I199))/6*1/3, TRUE, 0)) *
IF(ISNUMBER(SEARCH("Ordinance",$L199)),7/6,1) *
IF(OR(ISNUMBER(SEARCH("Melee",$L199)),ISNUMBER(SEARCH("Bypass",$L199))),1.5,1)</f>
        <v>0</v>
      </c>
      <c r="Y199" s="17" cm="1">
        <f t="array" ref="Y199">$H199 *
IF(ISNUMBER(SEARCH("Rapid",$L199)),7/6,1) *
IF(OR(ISNUMBER(SEARCH("Beam",$L199)),ISNUMBER(SEARCH("Firestorm",$L199))),1, IF(ISNUMBER(SEARCH("Blast",$L199)),(4+$F199+(2-$F199)*0.5)/6*2,(4+$F199)/6)) *
IF(ISNUMBER(SEARCH("Fusion",$L199)), _xlfn.IFS(Y$24-$I199 &lt;=1, 9/10, Y$24-$I199 &lt;=10,(11-(Y$24-$I199))/10, Y$24-$I199 &gt;=11, 0),
_xlfn.IFS(Y$24-$I199 &lt;=1, 5/6, Y$24-$I199 &lt;=5, (7-(Y$24-$I199))/6, AND(Y$24-$I199 =6,NOT(_xlfn.IFNA(ISNUMBER(SEARCH("Rending",$L199)),FALSE))), (7-(Y$24-$I199))/6, AND(Y$24-$I199 &gt;=7,NOT(_xlfn.IFNA(ISNUMBER(SEARCH("Rending",$L199)),FALSE))), 0, Y$24-$I199 =7, (7-(Y$24-1-$I199))/6, Y$24-$I199 =8, (7-(Y$24-2-$I199))/6*2/3, Y$24-$I199 =9, (7-(Y$24-3-$I199))/6*1/3, TRUE, 0)) *
IF(ISNUMBER(SEARCH("Ordinance",$L199)),7/6,1) *
IF(OR(ISNUMBER(SEARCH("Melee",$L199)),ISNUMBER(SEARCH("Bypass",$L199))),1.5,1)</f>
        <v>0</v>
      </c>
      <c r="Z199" s="17" cm="1">
        <f t="array" ref="Z199">$H199 *
IF(ISNUMBER(SEARCH("Rapid",$L199)),7/6,1) *
IF(OR(ISNUMBER(SEARCH("Beam",$L199)),ISNUMBER(SEARCH("Firestorm",$L199))),1, IF(ISNUMBER(SEARCH("Blast",$L199)),(4+$F199+(2-$F199)*0.5)/6*2,(4+$F199)/6)) *
IF(ISNUMBER(SEARCH("Fusion",$L199)), _xlfn.IFS(Z$24-$I199 &lt;=1, 9/10, Z$24-$I199 &lt;=10,(11-(Z$24-$I199))/10, Z$24-$I199 &gt;=11, 0),
_xlfn.IFS(Z$24-$I199 &lt;=1, 5/6, Z$24-$I199 &lt;=5, (7-(Z$24-$I199))/6, AND(Z$24-$I199 =6,NOT(_xlfn.IFNA(ISNUMBER(SEARCH("Rending",$L199)),FALSE))), (7-(Z$24-$I199))/6, AND(Z$24-$I199 &gt;=7,NOT(_xlfn.IFNA(ISNUMBER(SEARCH("Rending",$L199)),FALSE))), 0, Z$24-$I199 =7, (7-(Z$24-1-$I199))/6, Z$24-$I199 =8, (7-(Z$24-2-$I199))/6*2/3, Z$24-$I199 =9, (7-(Z$24-3-$I199))/6*1/3, TRUE, 0)) *
IF(ISNUMBER(SEARCH("Ordinance",$L199)),7/6,1) *
IF(OR(ISNUMBER(SEARCH("Melee",$L199)),ISNUMBER(SEARCH("Bypass",$L199))),1.5,1)</f>
        <v>0</v>
      </c>
      <c r="AA199" s="17" cm="1">
        <f t="array" ref="AA199">$H199 *
IF(ISNUMBER(SEARCH("Rapid",$L199)),7/6,1) *
IF(OR(ISNUMBER(SEARCH("Beam",$L199)),ISNUMBER(SEARCH("Firestorm",$L199))),1, IF(ISNUMBER(SEARCH("Blast",$L199)),(4+$F199+(2-$F199)*0.5)/6*2,(4+$F199)/6)) *
IF(ISNUMBER(SEARCH("Fusion",$L199)), _xlfn.IFS(AA$24-$I199 &lt;=1, 9/10, AA$24-$I199 &lt;=10,(11-(AA$24-$I199))/10, AA$24-$I199 &gt;=11, 0),
_xlfn.IFS(AA$24-$I199 &lt;=1, 5/6, AA$24-$I199 &lt;=5, (7-(AA$24-$I199))/6, AND(AA$24-$I199 =6,NOT(_xlfn.IFNA(ISNUMBER(SEARCH("Rending",$L199)),FALSE))), (7-(AA$24-$I199))/6, AND(AA$24-$I199 &gt;=7,NOT(_xlfn.IFNA(ISNUMBER(SEARCH("Rending",$L199)),FALSE))), 0, AA$24-$I199 =7, (7-(AA$24-1-$I199))/6, AA$24-$I199 =8, (7-(AA$24-2-$I199))/6*2/3, AA$24-$I199 =9, (7-(AA$24-3-$I199))/6*1/3, TRUE, 0)) *
IF(ISNUMBER(SEARCH("Ordinance",$L199)),7/6,1) *
IF(OR(ISNUMBER(SEARCH("Melee",$L199)),ISNUMBER(SEARCH("Bypass",$L199))),1.5,1)</f>
        <v>0</v>
      </c>
      <c r="AB199" s="17" cm="1">
        <f t="array" ref="AB199">$H199 *
IF(ISNUMBER(SEARCH("Rapid",$L199)),7/6,1) *
IF(OR(ISNUMBER(SEARCH("Beam",$L199)),ISNUMBER(SEARCH("Firestorm",$L199))),1, IF(ISNUMBER(SEARCH("Blast",$L199)),(4+$F199+(2-$F199)*0.5)/6*2,(4+$F199)/6)) *
IF(ISNUMBER(SEARCH("Fusion",$L199)), _xlfn.IFS(AB$24-$I199 &lt;=1, 9/10, AB$24-$I199 &lt;=10,(11-(AB$24-$I199))/10, AB$24-$I199 &gt;=11, 0),
_xlfn.IFS(AB$24-$I199 &lt;=1, 5/6, AB$24-$I199 &lt;=5, (7-(AB$24-$I199))/6, AND(AB$24-$I199 =6,NOT(_xlfn.IFNA(ISNUMBER(SEARCH("Rending",$L199)),FALSE))), (7-(AB$24-$I199))/6, AND(AB$24-$I199 &gt;=7,NOT(_xlfn.IFNA(ISNUMBER(SEARCH("Rending",$L199)),FALSE))), 0, AB$24-$I199 =7, (7-(AB$24-1-$I199))/6, AB$24-$I199 =8, (7-(AB$24-2-$I199))/6*2/3, AB$24-$I199 =9, (7-(AB$24-3-$I199))/6*1/3, TRUE, 0)) *
IF(ISNUMBER(SEARCH("Ordinance",$L199)),7/6,1) *
IF(OR(ISNUMBER(SEARCH("Melee",$L199)),ISNUMBER(SEARCH("Bypass",$L199))),1.5,1)</f>
        <v>0</v>
      </c>
      <c r="AC199" s="17" cm="1">
        <f t="array" ref="AC199">$H199 *
IF(ISNUMBER(SEARCH("Rapid",$L199)),7/6,1) *
IF(OR(ISNUMBER(SEARCH("Beam",$L199)),ISNUMBER(SEARCH("Firestorm",$L199))),1, IF(ISNUMBER(SEARCH("Blast",$L199)),(4+$F199+(2-$F199)*0.5)/6*2,(4+$F199)/6)) *
IF(ISNUMBER(SEARCH("Fusion",$L199)), _xlfn.IFS(AC$24-$I199 &lt;=1, 9/10, AC$24-$I199 &lt;=10,(11-(AC$24-$I199))/10, AC$24-$I199 &gt;=11, 0),
_xlfn.IFS(AC$24-$I199 &lt;=1, 5/6, AC$24-$I199 &lt;=5, (7-(AC$24-$I199))/6, AND(AC$24-$I199 =6,NOT(_xlfn.IFNA(ISNUMBER(SEARCH("Rending",$L199)),FALSE))), (7-(AC$24-$I199))/6, AND(AC$24-$I199 &gt;=7,NOT(_xlfn.IFNA(ISNUMBER(SEARCH("Rending",$L199)),FALSE))), 0, AC$24-$I199 =7, (7-(AC$24-1-$I199))/6, AC$24-$I199 =8, (7-(AC$24-2-$I199))/6*2/3, AC$24-$I199 =9, (7-(AC$24-3-$I199))/6*1/3, TRUE, 0)) *
IF(ISNUMBER(SEARCH("Ordinance",$L199)),7/6,1) *
IF(OR(ISNUMBER(SEARCH("Melee",$L199)),ISNUMBER(SEARCH("Bypass",$L199))),1.5,1)</f>
        <v>0</v>
      </c>
      <c r="AD199" s="17" cm="1">
        <f t="array" ref="AD199">$H199 *
IF(ISNUMBER(SEARCH("Rapid",$L199)),7/6,1) *
IF(OR(ISNUMBER(SEARCH("Beam",$L199)),ISNUMBER(SEARCH("Firestorm",$L199))),1, IF(ISNUMBER(SEARCH("Blast",$L199)),(4+$F199+(2-$F199)*0.5)/6*2,(4+$F199)/6)) *
IF(ISNUMBER(SEARCH("Fusion",$L199)), _xlfn.IFS(AD$24-$I199 &lt;=1, 9/10, AD$24-$I199 &lt;=10,(11-(AD$24-$I199))/10, AD$24-$I199 &gt;=11, 0),
_xlfn.IFS(AD$24-$I199 &lt;=1, 5/6, AD$24-$I199 &lt;=5, (7-(AD$24-$I199))/6, AND(AD$24-$I199 =6,NOT(_xlfn.IFNA(ISNUMBER(SEARCH("Rending",$L199)),FALSE))), (7-(AD$24-$I199))/6, AND(AD$24-$I199 &gt;=7,NOT(_xlfn.IFNA(ISNUMBER(SEARCH("Rending",$L199)),FALSE))), 0, AD$24-$I199 =7, (7-(AD$24-1-$I199))/6, AD$24-$I199 =8, (7-(AD$24-2-$I199))/6*2/3, AD$24-$I199 =9, (7-(AD$24-3-$I199))/6*1/3, TRUE, 0)) *
IF(ISNUMBER(SEARCH("Ordinance",$L199)),7/6,1) *
IF(OR(ISNUMBER(SEARCH("Melee",$L199)),ISNUMBER(SEARCH("Bypass",$L199))),1.5,1)</f>
        <v>0</v>
      </c>
      <c r="AE199" s="17" cm="1">
        <f t="array" ref="AE199">$H199 *
IF(ISNUMBER(SEARCH("Rapid",$L199)),7/6,1) *
IF(OR(ISNUMBER(SEARCH("Beam",$L199)),ISNUMBER(SEARCH("Firestorm",$L199))),1, IF(ISNUMBER(SEARCH("Blast",$L199)),(4+$F199+(2-$F199)*0.5)/6*2,(4+$F199)/6)) *
IF(ISNUMBER(SEARCH("Fusion",$L199)), _xlfn.IFS(AE$24-$I199 &lt;=1, 9/10, AE$24-$I199 &lt;=10,(11-(AE$24-$I199))/10, AE$24-$I199 &gt;=11, 0),
_xlfn.IFS(AE$24-$I199 &lt;=1, 5/6, AE$24-$I199 &lt;=5, (7-(AE$24-$I199))/6, AND(AE$24-$I199 =6,NOT(_xlfn.IFNA(ISNUMBER(SEARCH("Rending",$L199)),FALSE))), (7-(AE$24-$I199))/6, AND(AE$24-$I199 &gt;=7,NOT(_xlfn.IFNA(ISNUMBER(SEARCH("Rending",$L199)),FALSE))), 0, AE$24-$I199 =7, (7-(AE$24-1-$I199))/6, AE$24-$I199 =8, (7-(AE$24-2-$I199))/6*2/3, AE$24-$I199 =9, (7-(AE$24-3-$I199))/6*1/3, TRUE, 0)) *
IF(ISNUMBER(SEARCH("Ordinance",$L199)),7/6,1) *
IF(OR(ISNUMBER(SEARCH("Melee",$L199)),ISNUMBER(SEARCH("Bypass",$L199))),1.5,1)</f>
        <v>0</v>
      </c>
      <c r="AF199" s="17" cm="1">
        <f t="array" ref="AF199">$H199 *
IF(ISNUMBER(SEARCH("Rapid",$L199)),7/6,1) *
IF(OR(ISNUMBER(SEARCH("Beam",$L199)),ISNUMBER(SEARCH("Firestorm",$L199))),1, IF(ISNUMBER(SEARCH("Blast",$L199)),(4+$F199+(2-$F199)*0.5)/6*2,(4+$F199)/6)) *
IF(ISNUMBER(SEARCH("Fusion",$L199)), _xlfn.IFS(AF$24-$I199 &lt;=1, 9/10, AF$24-$I199 &lt;=10,(11-(AF$24-$I199))/10, AF$24-$I199 &gt;=11, 0),
_xlfn.IFS(AF$24-$I199 &lt;=1, 5/6, AF$24-$I199 &lt;=5, (7-(AF$24-$I199))/6, AND(AF$24-$I199 =6,NOT(_xlfn.IFNA(ISNUMBER(SEARCH("Rending",$L199)),FALSE))), (7-(AF$24-$I199))/6, AND(AF$24-$I199 &gt;=7,NOT(_xlfn.IFNA(ISNUMBER(SEARCH("Rending",$L199)),FALSE))), 0, AF$24-$I199 =7, (7-(AF$24-1-$I199))/6, AF$24-$I199 =8, (7-(AF$24-2-$I199))/6*2/3, AF$24-$I199 =9, (7-(AF$24-3-$I199))/6*1/3, TRUE, 0)) *
IF(ISNUMBER(SEARCH("Ordinance",$L199)),7/6,1) *
IF(OR(ISNUMBER(SEARCH("Melee",$L199)),ISNUMBER(SEARCH("Bypass",$L199))),1.5,1)</f>
        <v>0</v>
      </c>
      <c r="AG199" s="16">
        <f t="shared" si="53"/>
        <v>0</v>
      </c>
      <c r="AH199" s="16">
        <f t="shared" si="54"/>
        <v>0</v>
      </c>
      <c r="AI199" s="17" cm="1">
        <f t="array" ref="AI199">$H199 *
IF(ISNUMBER(SEARCH("Rapid",$L199)),7/6,1) *
IF(OR(ISNUMBER(SEARCH("Beam",$L199)),ISNUMBER(SEARCH("Firestorm",$L199))),1, IF(ISNUMBER(SEARCH("Blast",$L199)),(4+$G199+(2-$G199)*0.5)/6*2,(4+$G199)/6)) *
_xlfn.IFS(AI$24-$I199 &lt;=1, 5/6, AI$24-$I199 &lt;=5, (7-(AI$24-$I199))/6, AND(AI$24-$I199 =6,NOT(_xlfn.IFNA(ISNUMBER(SEARCH("Rending",$L199)),FALSE))), (7-(AI$24-$I199))/6, AND(AI$24-$I199 &gt;=7,NOT(_xlfn.IFNA(ISNUMBER(SEARCH("Rending",$L199)),FALSE))), 0, AI$24-$I199 =7, (7-(AI$24-1-$I199))/6, AI$24-$I199 =8, (7-(AI$24-2-$I199))/6*2/3, AI$24-$I199 =9, (7-(AI$24-3-$I199))/6*1/3, TRUE, 0) *
IF(ISNUMBER(SEARCH("Ordinance",$L199)),7/6,1) *
IF(OR(ISNUMBER(SEARCH("Melee",$L199)),ISNUMBER(SEARCH("Bypass",$L199))),1.5,1)</f>
        <v>0</v>
      </c>
      <c r="AJ199" s="17" cm="1">
        <f t="array" ref="AJ199">$H199 *
IF(ISNUMBER(SEARCH("Rapid",$L199)),7/6,1) *
IF(OR(ISNUMBER(SEARCH("Beam",$L199)),ISNUMBER(SEARCH("Firestorm",$L199))),1, IF(ISNUMBER(SEARCH("Blast",$L199)),(4+$G199+(2-$G199)*0.5)/6*2,(4+$G199)/6)) *
_xlfn.IFS(AJ$24-$I199 &lt;=1, 5/6, AJ$24-$I199 &lt;=5, (7-(AJ$24-$I199))/6, AND(AJ$24-$I199 =6,NOT(_xlfn.IFNA(ISNUMBER(SEARCH("Rending",$L199)),FALSE))), (7-(AJ$24-$I199))/6, AND(AJ$24-$I199 &gt;=7,NOT(_xlfn.IFNA(ISNUMBER(SEARCH("Rending",$L199)),FALSE))), 0, AJ$24-$I199 =7, (7-(AJ$24-1-$I199))/6, AJ$24-$I199 =8, (7-(AJ$24-2-$I199))/6*2/3, AJ$24-$I199 =9, (7-(AJ$24-3-$I199))/6*1/3, TRUE, 0) *
IF(ISNUMBER(SEARCH("Ordinance",$L199)),7/6,1) *
IF(OR(ISNUMBER(SEARCH("Melee",$L199)),ISNUMBER(SEARCH("Bypass",$L199))),1.5,1)</f>
        <v>0</v>
      </c>
      <c r="AK199" s="17" cm="1">
        <f t="array" ref="AK199">$H199 *
IF(ISNUMBER(SEARCH("Rapid",$L199)),7/6,1) *
IF(OR(ISNUMBER(SEARCH("Beam",$L199)),ISNUMBER(SEARCH("Firestorm",$L199))),1, IF(ISNUMBER(SEARCH("Blast",$L199)),(4+$G199+(2-$G199)*0.5)/6*2,(4+$G199)/6)) *
_xlfn.IFS(AK$24-$I199 &lt;=1, 5/6, AK$24-$I199 &lt;=5, (7-(AK$24-$I199))/6, AND(AK$24-$I199 =6,NOT(_xlfn.IFNA(ISNUMBER(SEARCH("Rending",$L199)),FALSE))), (7-(AK$24-$I199))/6, AND(AK$24-$I199 &gt;=7,NOT(_xlfn.IFNA(ISNUMBER(SEARCH("Rending",$L199)),FALSE))), 0, AK$24-$I199 =7, (7-(AK$24-1-$I199))/6, AK$24-$I199 =8, (7-(AK$24-2-$I199))/6*2/3, AK$24-$I199 =9, (7-(AK$24-3-$I199))/6*1/3, TRUE, 0) *
IF(ISNUMBER(SEARCH("Ordinance",$L199)),7/6,1) *
IF(OR(ISNUMBER(SEARCH("Melee",$L199)),ISNUMBER(SEARCH("Bypass",$L199))),1.5,1)</f>
        <v>0</v>
      </c>
      <c r="AL199" s="17" cm="1">
        <f t="array" ref="AL199">$H199 *
IF(ISNUMBER(SEARCH("Rapid",$L199)),7/6,1) *
IF(OR(ISNUMBER(SEARCH("Beam",$L199)),ISNUMBER(SEARCH("Firestorm",$L199))),1, IF(ISNUMBER(SEARCH("Blast",$L199)),(4+$G199+(2-$G199)*0.5)/6*2,(4+$G199)/6)) *
_xlfn.IFS(AL$24-$I199 &lt;=1, 5/6, AL$24-$I199 &lt;=5, (7-(AL$24-$I199))/6, AND(AL$24-$I199 =6,NOT(_xlfn.IFNA(ISNUMBER(SEARCH("Rending",$L199)),FALSE))), (7-(AL$24-$I199))/6, AND(AL$24-$I199 &gt;=7,NOT(_xlfn.IFNA(ISNUMBER(SEARCH("Rending",$L199)),FALSE))), 0, AL$24-$I199 =7, (7-(AL$24-1-$I199))/6, AL$24-$I199 =8, (7-(AL$24-2-$I199))/6*2/3, AL$24-$I199 =9, (7-(AL$24-3-$I199))/6*1/3, TRUE, 0) *
IF(ISNUMBER(SEARCH("Ordinance",$L199)),7/6,1) *
IF(OR(ISNUMBER(SEARCH("Melee",$L199)),ISNUMBER(SEARCH("Bypass",$L199))),1.5,1)</f>
        <v>0</v>
      </c>
      <c r="AM199" s="17" cm="1">
        <f t="array" ref="AM199">$H199 *
IF(ISNUMBER(SEARCH("Rapid",$L199)),7/6,1) *
IF(OR(ISNUMBER(SEARCH("Beam",$L199)),ISNUMBER(SEARCH("Firestorm",$L199))),1, IF(ISNUMBER(SEARCH("Blast",$L199)),(4+$G199+(2-$G199)*0.5)/6*2,(4+$G199)/6)) *
_xlfn.IFS(AM$24-$I199 &lt;=1, 5/6, AM$24-$I199 &lt;=5, (7-(AM$24-$I199))/6, AND(AM$24-$I199 =6,NOT(_xlfn.IFNA(ISNUMBER(SEARCH("Rending",$L199)),FALSE))), (7-(AM$24-$I199))/6, AND(AM$24-$I199 &gt;=7,NOT(_xlfn.IFNA(ISNUMBER(SEARCH("Rending",$L199)),FALSE))), 0, AM$24-$I199 =7, (7-(AM$24-1-$I199))/6, AM$24-$I199 =8, (7-(AM$24-2-$I199))/6*2/3, AM$24-$I199 =9, (7-(AM$24-3-$I199))/6*1/3, TRUE, 0) *
IF(ISNUMBER(SEARCH("Ordinance",$L199)),7/6,1) *
IF(OR(ISNUMBER(SEARCH("Melee",$L199)),ISNUMBER(SEARCH("Bypass",$L199))),1.5,1)</f>
        <v>0</v>
      </c>
      <c r="AN199" s="17" cm="1">
        <f t="array" ref="AN199">$H199 *
IF(ISNUMBER(SEARCH("Rapid",$L199)),7/6,1) *
IF(OR(ISNUMBER(SEARCH("Beam",$L199)),ISNUMBER(SEARCH("Firestorm",$L199))),1, IF(ISNUMBER(SEARCH("Blast",$L199)),(4+$G199+(2-$G199)*0.5)/6*2,(4+$G199)/6)) *
_xlfn.IFS(AN$24-$I199 &lt;=1, 5/6, AN$24-$I199 &lt;=5, (7-(AN$24-$I199))/6, AND(AN$24-$I199 =6,NOT(_xlfn.IFNA(ISNUMBER(SEARCH("Rending",$L199)),FALSE))), (7-(AN$24-$I199))/6, AND(AN$24-$I199 &gt;=7,NOT(_xlfn.IFNA(ISNUMBER(SEARCH("Rending",$L199)),FALSE))), 0, AN$24-$I199 =7, (7-(AN$24-1-$I199))/6, AN$24-$I199 =8, (7-(AN$24-2-$I199))/6*2/3, AN$24-$I199 =9, (7-(AN$24-3-$I199))/6*1/3, TRUE, 0) *
IF(ISNUMBER(SEARCH("Ordinance",$L199)),7/6,1) *
IF(OR(ISNUMBER(SEARCH("Melee",$L199)),ISNUMBER(SEARCH("Bypass",$L199))),1.5,1)</f>
        <v>0</v>
      </c>
      <c r="AO199" s="17" cm="1">
        <f t="array" ref="AO199">$H199 *
IF(ISNUMBER(SEARCH("Rapid",$L199)),7/6,1) *
IF(OR(ISNUMBER(SEARCH("Beam",$L199)),ISNUMBER(SEARCH("Firestorm",$L199))),1, IF(ISNUMBER(SEARCH("Blast",$L199)),(4+$G199+(2-$G199)*0.5)/6*2,(4+$G199)/6)) *
_xlfn.IFS(AO$24-$I199 &lt;=1, 5/6, AO$24-$I199 &lt;=5, (7-(AO$24-$I199))/6, AND(AO$24-$I199 =6,NOT(_xlfn.IFNA(ISNUMBER(SEARCH("Rending",$L199)),FALSE))), (7-(AO$24-$I199))/6, AND(AO$24-$I199 &gt;=7,NOT(_xlfn.IFNA(ISNUMBER(SEARCH("Rending",$L199)),FALSE))), 0, AO$24-$I199 =7, (7-(AO$24-1-$I199))/6, AO$24-$I199 =8, (7-(AO$24-2-$I199))/6*2/3, AO$24-$I199 =9, (7-(AO$24-3-$I199))/6*1/3, TRUE, 0) *
IF(ISNUMBER(SEARCH("Ordinance",$L199)),7/6,1) *
IF(OR(ISNUMBER(SEARCH("Melee",$L199)),ISNUMBER(SEARCH("Bypass",$L199))),1.5,1)</f>
        <v>0</v>
      </c>
      <c r="AP199" s="17" cm="1">
        <f t="array" ref="AP199">$H199 *
IF(ISNUMBER(SEARCH("Rapid",$L199)),7/6,1) *
IF(OR(ISNUMBER(SEARCH("Beam",$L199)),ISNUMBER(SEARCH("Firestorm",$L199))),1, IF(ISNUMBER(SEARCH("Blast",$L199)),(4+$G199+(2-$G199)*0.5)/6*2,(4+$G199)/6)) *
_xlfn.IFS(AP$24-$I199 &lt;=1, 5/6, AP$24-$I199 &lt;=5, (7-(AP$24-$I199))/6, AND(AP$24-$I199 =6,NOT(_xlfn.IFNA(ISNUMBER(SEARCH("Rending",$L199)),FALSE))), (7-(AP$24-$I199))/6, AND(AP$24-$I199 &gt;=7,NOT(_xlfn.IFNA(ISNUMBER(SEARCH("Rending",$L199)),FALSE))), 0, AP$24-$I199 =7, (7-(AP$24-1-$I199))/6, AP$24-$I199 =8, (7-(AP$24-2-$I199))/6*2/3, AP$24-$I199 =9, (7-(AP$24-3-$I199))/6*1/3, TRUE, 0) *
IF(ISNUMBER(SEARCH("Ordinance",$L199)),7/6,1) *
IF(OR(ISNUMBER(SEARCH("Melee",$L199)),ISNUMBER(SEARCH("Bypass",$L199))),1.5,1)</f>
        <v>0</v>
      </c>
      <c r="AQ199" s="17" cm="1">
        <f t="array" ref="AQ199">$H199 *
IF(ISNUMBER(SEARCH("Rapid",$L199)),7/6,1) *
IF(OR(ISNUMBER(SEARCH("Beam",$L199)),ISNUMBER(SEARCH("Firestorm",$L199))),1, IF(ISNUMBER(SEARCH("Blast",$L199)),(4+$G199+(2-$G199)*0.5)/6*2,(4+$G199)/6)) *
_xlfn.IFS(AQ$24-$I199 &lt;=1, 5/6, AQ$24-$I199 &lt;=5, (7-(AQ$24-$I199))/6, AND(AQ$24-$I199 =6,NOT(_xlfn.IFNA(ISNUMBER(SEARCH("Rending",$L199)),FALSE))), (7-(AQ$24-$I199))/6, AND(AQ$24-$I199 &gt;=7,NOT(_xlfn.IFNA(ISNUMBER(SEARCH("Rending",$L199)),FALSE))), 0, AQ$24-$I199 =7, (7-(AQ$24-1-$I199))/6, AQ$24-$I199 =8, (7-(AQ$24-2-$I199))/6*2/3, AQ$24-$I199 =9, (7-(AQ$24-3-$I199))/6*1/3, TRUE, 0) *
IF(ISNUMBER(SEARCH("Ordinance",$L199)),7/6,1) *
IF(OR(ISNUMBER(SEARCH("Melee",$L199)),ISNUMBER(SEARCH("Bypass",$L199))),1.5,1)</f>
        <v>0</v>
      </c>
    </row>
    <row r="200" spans="1:48" x14ac:dyDescent="0.3">
      <c r="A200" s="6" t="s">
        <v>545</v>
      </c>
      <c r="F200" s="10"/>
      <c r="G200" s="10"/>
      <c r="V200" s="16">
        <f t="shared" si="51"/>
        <v>0</v>
      </c>
      <c r="W200" s="16">
        <f t="shared" si="52"/>
        <v>0</v>
      </c>
      <c r="X200" s="17" cm="1">
        <f t="array" ref="X200">$H200 *
IF(ISNUMBER(SEARCH("Rapid",$L200)),7/6,1) *
IF(OR(ISNUMBER(SEARCH("Beam",$L200)),ISNUMBER(SEARCH("Firestorm",$L200))),1, IF(ISNUMBER(SEARCH("Blast",$L200)),(4+$F200+(2-$F200)*0.5)/6*2,(4+$F200)/6)) *
IF(ISNUMBER(SEARCH("Fusion",$L200)), _xlfn.IFS(X$24-$I200 &lt;=1, 9/10, X$24-$I200 &lt;=10,(11-(X$24-$I200))/10, X$24-$I200 &gt;=11, 0),
_xlfn.IFS(X$24-$I200 &lt;=1, 5/6, X$24-$I200 &lt;=5, (7-(X$24-$I200))/6, AND(X$24-$I200 =6,NOT(_xlfn.IFNA(ISNUMBER(SEARCH("Rending",$L200)),FALSE))), (7-(X$24-$I200))/6, AND(X$24-$I200 &gt;=7,NOT(_xlfn.IFNA(ISNUMBER(SEARCH("Rending",$L200)),FALSE))), 0, X$24-$I200 =7, (7-(X$24-1-$I200))/6, X$24-$I200 =8, (7-(X$24-2-$I200))/6*2/3, X$24-$I200 =9, (7-(X$24-3-$I200))/6*1/3, TRUE, 0)) *
IF(ISNUMBER(SEARCH("Ordinance",$L200)),7/6,1) *
IF(OR(ISNUMBER(SEARCH("Melee",$L200)),ISNUMBER(SEARCH("Bypass",$L200))),1.5,1)</f>
        <v>0</v>
      </c>
      <c r="Y200" s="17" cm="1">
        <f t="array" ref="Y200">$H200 *
IF(ISNUMBER(SEARCH("Rapid",$L200)),7/6,1) *
IF(OR(ISNUMBER(SEARCH("Beam",$L200)),ISNUMBER(SEARCH("Firestorm",$L200))),1, IF(ISNUMBER(SEARCH("Blast",$L200)),(4+$F200+(2-$F200)*0.5)/6*2,(4+$F200)/6)) *
IF(ISNUMBER(SEARCH("Fusion",$L200)), _xlfn.IFS(Y$24-$I200 &lt;=1, 9/10, Y$24-$I200 &lt;=10,(11-(Y$24-$I200))/10, Y$24-$I200 &gt;=11, 0),
_xlfn.IFS(Y$24-$I200 &lt;=1, 5/6, Y$24-$I200 &lt;=5, (7-(Y$24-$I200))/6, AND(Y$24-$I200 =6,NOT(_xlfn.IFNA(ISNUMBER(SEARCH("Rending",$L200)),FALSE))), (7-(Y$24-$I200))/6, AND(Y$24-$I200 &gt;=7,NOT(_xlfn.IFNA(ISNUMBER(SEARCH("Rending",$L200)),FALSE))), 0, Y$24-$I200 =7, (7-(Y$24-1-$I200))/6, Y$24-$I200 =8, (7-(Y$24-2-$I200))/6*2/3, Y$24-$I200 =9, (7-(Y$24-3-$I200))/6*1/3, TRUE, 0)) *
IF(ISNUMBER(SEARCH("Ordinance",$L200)),7/6,1) *
IF(OR(ISNUMBER(SEARCH("Melee",$L200)),ISNUMBER(SEARCH("Bypass",$L200))),1.5,1)</f>
        <v>0</v>
      </c>
      <c r="Z200" s="17" cm="1">
        <f t="array" ref="Z200">$H200 *
IF(ISNUMBER(SEARCH("Rapid",$L200)),7/6,1) *
IF(OR(ISNUMBER(SEARCH("Beam",$L200)),ISNUMBER(SEARCH("Firestorm",$L200))),1, IF(ISNUMBER(SEARCH("Blast",$L200)),(4+$F200+(2-$F200)*0.5)/6*2,(4+$F200)/6)) *
IF(ISNUMBER(SEARCH("Fusion",$L200)), _xlfn.IFS(Z$24-$I200 &lt;=1, 9/10, Z$24-$I200 &lt;=10,(11-(Z$24-$I200))/10, Z$24-$I200 &gt;=11, 0),
_xlfn.IFS(Z$24-$I200 &lt;=1, 5/6, Z$24-$I200 &lt;=5, (7-(Z$24-$I200))/6, AND(Z$24-$I200 =6,NOT(_xlfn.IFNA(ISNUMBER(SEARCH("Rending",$L200)),FALSE))), (7-(Z$24-$I200))/6, AND(Z$24-$I200 &gt;=7,NOT(_xlfn.IFNA(ISNUMBER(SEARCH("Rending",$L200)),FALSE))), 0, Z$24-$I200 =7, (7-(Z$24-1-$I200))/6, Z$24-$I200 =8, (7-(Z$24-2-$I200))/6*2/3, Z$24-$I200 =9, (7-(Z$24-3-$I200))/6*1/3, TRUE, 0)) *
IF(ISNUMBER(SEARCH("Ordinance",$L200)),7/6,1) *
IF(OR(ISNUMBER(SEARCH("Melee",$L200)),ISNUMBER(SEARCH("Bypass",$L200))),1.5,1)</f>
        <v>0</v>
      </c>
      <c r="AA200" s="17" cm="1">
        <f t="array" ref="AA200">$H200 *
IF(ISNUMBER(SEARCH("Rapid",$L200)),7/6,1) *
IF(OR(ISNUMBER(SEARCH("Beam",$L200)),ISNUMBER(SEARCH("Firestorm",$L200))),1, IF(ISNUMBER(SEARCH("Blast",$L200)),(4+$F200+(2-$F200)*0.5)/6*2,(4+$F200)/6)) *
IF(ISNUMBER(SEARCH("Fusion",$L200)), _xlfn.IFS(AA$24-$I200 &lt;=1, 9/10, AA$24-$I200 &lt;=10,(11-(AA$24-$I200))/10, AA$24-$I200 &gt;=11, 0),
_xlfn.IFS(AA$24-$I200 &lt;=1, 5/6, AA$24-$I200 &lt;=5, (7-(AA$24-$I200))/6, AND(AA$24-$I200 =6,NOT(_xlfn.IFNA(ISNUMBER(SEARCH("Rending",$L200)),FALSE))), (7-(AA$24-$I200))/6, AND(AA$24-$I200 &gt;=7,NOT(_xlfn.IFNA(ISNUMBER(SEARCH("Rending",$L200)),FALSE))), 0, AA$24-$I200 =7, (7-(AA$24-1-$I200))/6, AA$24-$I200 =8, (7-(AA$24-2-$I200))/6*2/3, AA$24-$I200 =9, (7-(AA$24-3-$I200))/6*1/3, TRUE, 0)) *
IF(ISNUMBER(SEARCH("Ordinance",$L200)),7/6,1) *
IF(OR(ISNUMBER(SEARCH("Melee",$L200)),ISNUMBER(SEARCH("Bypass",$L200))),1.5,1)</f>
        <v>0</v>
      </c>
      <c r="AB200" s="17" cm="1">
        <f t="array" ref="AB200">$H200 *
IF(ISNUMBER(SEARCH("Rapid",$L200)),7/6,1) *
IF(OR(ISNUMBER(SEARCH("Beam",$L200)),ISNUMBER(SEARCH("Firestorm",$L200))),1, IF(ISNUMBER(SEARCH("Blast",$L200)),(4+$F200+(2-$F200)*0.5)/6*2,(4+$F200)/6)) *
IF(ISNUMBER(SEARCH("Fusion",$L200)), _xlfn.IFS(AB$24-$I200 &lt;=1, 9/10, AB$24-$I200 &lt;=10,(11-(AB$24-$I200))/10, AB$24-$I200 &gt;=11, 0),
_xlfn.IFS(AB$24-$I200 &lt;=1, 5/6, AB$24-$I200 &lt;=5, (7-(AB$24-$I200))/6, AND(AB$24-$I200 =6,NOT(_xlfn.IFNA(ISNUMBER(SEARCH("Rending",$L200)),FALSE))), (7-(AB$24-$I200))/6, AND(AB$24-$I200 &gt;=7,NOT(_xlfn.IFNA(ISNUMBER(SEARCH("Rending",$L200)),FALSE))), 0, AB$24-$I200 =7, (7-(AB$24-1-$I200))/6, AB$24-$I200 =8, (7-(AB$24-2-$I200))/6*2/3, AB$24-$I200 =9, (7-(AB$24-3-$I200))/6*1/3, TRUE, 0)) *
IF(ISNUMBER(SEARCH("Ordinance",$L200)),7/6,1) *
IF(OR(ISNUMBER(SEARCH("Melee",$L200)),ISNUMBER(SEARCH("Bypass",$L200))),1.5,1)</f>
        <v>0</v>
      </c>
      <c r="AC200" s="17" cm="1">
        <f t="array" ref="AC200">$H200 *
IF(ISNUMBER(SEARCH("Rapid",$L200)),7/6,1) *
IF(OR(ISNUMBER(SEARCH("Beam",$L200)),ISNUMBER(SEARCH("Firestorm",$L200))),1, IF(ISNUMBER(SEARCH("Blast",$L200)),(4+$F200+(2-$F200)*0.5)/6*2,(4+$F200)/6)) *
IF(ISNUMBER(SEARCH("Fusion",$L200)), _xlfn.IFS(AC$24-$I200 &lt;=1, 9/10, AC$24-$I200 &lt;=10,(11-(AC$24-$I200))/10, AC$24-$I200 &gt;=11, 0),
_xlfn.IFS(AC$24-$I200 &lt;=1, 5/6, AC$24-$I200 &lt;=5, (7-(AC$24-$I200))/6, AND(AC$24-$I200 =6,NOT(_xlfn.IFNA(ISNUMBER(SEARCH("Rending",$L200)),FALSE))), (7-(AC$24-$I200))/6, AND(AC$24-$I200 &gt;=7,NOT(_xlfn.IFNA(ISNUMBER(SEARCH("Rending",$L200)),FALSE))), 0, AC$24-$I200 =7, (7-(AC$24-1-$I200))/6, AC$24-$I200 =8, (7-(AC$24-2-$I200))/6*2/3, AC$24-$I200 =9, (7-(AC$24-3-$I200))/6*1/3, TRUE, 0)) *
IF(ISNUMBER(SEARCH("Ordinance",$L200)),7/6,1) *
IF(OR(ISNUMBER(SEARCH("Melee",$L200)),ISNUMBER(SEARCH("Bypass",$L200))),1.5,1)</f>
        <v>0</v>
      </c>
      <c r="AD200" s="17" cm="1">
        <f t="array" ref="AD200">$H200 *
IF(ISNUMBER(SEARCH("Rapid",$L200)),7/6,1) *
IF(OR(ISNUMBER(SEARCH("Beam",$L200)),ISNUMBER(SEARCH("Firestorm",$L200))),1, IF(ISNUMBER(SEARCH("Blast",$L200)),(4+$F200+(2-$F200)*0.5)/6*2,(4+$F200)/6)) *
IF(ISNUMBER(SEARCH("Fusion",$L200)), _xlfn.IFS(AD$24-$I200 &lt;=1, 9/10, AD$24-$I200 &lt;=10,(11-(AD$24-$I200))/10, AD$24-$I200 &gt;=11, 0),
_xlfn.IFS(AD$24-$I200 &lt;=1, 5/6, AD$24-$I200 &lt;=5, (7-(AD$24-$I200))/6, AND(AD$24-$I200 =6,NOT(_xlfn.IFNA(ISNUMBER(SEARCH("Rending",$L200)),FALSE))), (7-(AD$24-$I200))/6, AND(AD$24-$I200 &gt;=7,NOT(_xlfn.IFNA(ISNUMBER(SEARCH("Rending",$L200)),FALSE))), 0, AD$24-$I200 =7, (7-(AD$24-1-$I200))/6, AD$24-$I200 =8, (7-(AD$24-2-$I200))/6*2/3, AD$24-$I200 =9, (7-(AD$24-3-$I200))/6*1/3, TRUE, 0)) *
IF(ISNUMBER(SEARCH("Ordinance",$L200)),7/6,1) *
IF(OR(ISNUMBER(SEARCH("Melee",$L200)),ISNUMBER(SEARCH("Bypass",$L200))),1.5,1)</f>
        <v>0</v>
      </c>
      <c r="AE200" s="17" cm="1">
        <f t="array" ref="AE200">$H200 *
IF(ISNUMBER(SEARCH("Rapid",$L200)),7/6,1) *
IF(OR(ISNUMBER(SEARCH("Beam",$L200)),ISNUMBER(SEARCH("Firestorm",$L200))),1, IF(ISNUMBER(SEARCH("Blast",$L200)),(4+$F200+(2-$F200)*0.5)/6*2,(4+$F200)/6)) *
IF(ISNUMBER(SEARCH("Fusion",$L200)), _xlfn.IFS(AE$24-$I200 &lt;=1, 9/10, AE$24-$I200 &lt;=10,(11-(AE$24-$I200))/10, AE$24-$I200 &gt;=11, 0),
_xlfn.IFS(AE$24-$I200 &lt;=1, 5/6, AE$24-$I200 &lt;=5, (7-(AE$24-$I200))/6, AND(AE$24-$I200 =6,NOT(_xlfn.IFNA(ISNUMBER(SEARCH("Rending",$L200)),FALSE))), (7-(AE$24-$I200))/6, AND(AE$24-$I200 &gt;=7,NOT(_xlfn.IFNA(ISNUMBER(SEARCH("Rending",$L200)),FALSE))), 0, AE$24-$I200 =7, (7-(AE$24-1-$I200))/6, AE$24-$I200 =8, (7-(AE$24-2-$I200))/6*2/3, AE$24-$I200 =9, (7-(AE$24-3-$I200))/6*1/3, TRUE, 0)) *
IF(ISNUMBER(SEARCH("Ordinance",$L200)),7/6,1) *
IF(OR(ISNUMBER(SEARCH("Melee",$L200)),ISNUMBER(SEARCH("Bypass",$L200))),1.5,1)</f>
        <v>0</v>
      </c>
      <c r="AF200" s="17" cm="1">
        <f t="array" ref="AF200">$H200 *
IF(ISNUMBER(SEARCH("Rapid",$L200)),7/6,1) *
IF(OR(ISNUMBER(SEARCH("Beam",$L200)),ISNUMBER(SEARCH("Firestorm",$L200))),1, IF(ISNUMBER(SEARCH("Blast",$L200)),(4+$F200+(2-$F200)*0.5)/6*2,(4+$F200)/6)) *
IF(ISNUMBER(SEARCH("Fusion",$L200)), _xlfn.IFS(AF$24-$I200 &lt;=1, 9/10, AF$24-$I200 &lt;=10,(11-(AF$24-$I200))/10, AF$24-$I200 &gt;=11, 0),
_xlfn.IFS(AF$24-$I200 &lt;=1, 5/6, AF$24-$I200 &lt;=5, (7-(AF$24-$I200))/6, AND(AF$24-$I200 =6,NOT(_xlfn.IFNA(ISNUMBER(SEARCH("Rending",$L200)),FALSE))), (7-(AF$24-$I200))/6, AND(AF$24-$I200 &gt;=7,NOT(_xlfn.IFNA(ISNUMBER(SEARCH("Rending",$L200)),FALSE))), 0, AF$24-$I200 =7, (7-(AF$24-1-$I200))/6, AF$24-$I200 =8, (7-(AF$24-2-$I200))/6*2/3, AF$24-$I200 =9, (7-(AF$24-3-$I200))/6*1/3, TRUE, 0)) *
IF(ISNUMBER(SEARCH("Ordinance",$L200)),7/6,1) *
IF(OR(ISNUMBER(SEARCH("Melee",$L200)),ISNUMBER(SEARCH("Bypass",$L200))),1.5,1)</f>
        <v>0</v>
      </c>
      <c r="AG200" s="16">
        <f t="shared" si="53"/>
        <v>0</v>
      </c>
      <c r="AH200" s="16">
        <f t="shared" si="54"/>
        <v>0</v>
      </c>
      <c r="AI200" s="17" cm="1">
        <f t="array" ref="AI200">$H200 *
IF(ISNUMBER(SEARCH("Rapid",$L200)),7/6,1) *
IF(OR(ISNUMBER(SEARCH("Beam",$L200)),ISNUMBER(SEARCH("Firestorm",$L200))),1, IF(ISNUMBER(SEARCH("Blast",$L200)),(4+$G200+(2-$G200)*0.5)/6*2,(4+$G200)/6)) *
_xlfn.IFS(AI$24-$I200 &lt;=1, 5/6, AI$24-$I200 &lt;=5, (7-(AI$24-$I200))/6, AND(AI$24-$I200 =6,NOT(_xlfn.IFNA(ISNUMBER(SEARCH("Rending",$L200)),FALSE))), (7-(AI$24-$I200))/6, AND(AI$24-$I200 &gt;=7,NOT(_xlfn.IFNA(ISNUMBER(SEARCH("Rending",$L200)),FALSE))), 0, AI$24-$I200 =7, (7-(AI$24-1-$I200))/6, AI$24-$I200 =8, (7-(AI$24-2-$I200))/6*2/3, AI$24-$I200 =9, (7-(AI$24-3-$I200))/6*1/3, TRUE, 0) *
IF(ISNUMBER(SEARCH("Ordinance",$L200)),7/6,1) *
IF(OR(ISNUMBER(SEARCH("Melee",$L200)),ISNUMBER(SEARCH("Bypass",$L200))),1.5,1)</f>
        <v>0</v>
      </c>
      <c r="AJ200" s="17" cm="1">
        <f t="array" ref="AJ200">$H200 *
IF(ISNUMBER(SEARCH("Rapid",$L200)),7/6,1) *
IF(OR(ISNUMBER(SEARCH("Beam",$L200)),ISNUMBER(SEARCH("Firestorm",$L200))),1, IF(ISNUMBER(SEARCH("Blast",$L200)),(4+$G200+(2-$G200)*0.5)/6*2,(4+$G200)/6)) *
_xlfn.IFS(AJ$24-$I200 &lt;=1, 5/6, AJ$24-$I200 &lt;=5, (7-(AJ$24-$I200))/6, AND(AJ$24-$I200 =6,NOT(_xlfn.IFNA(ISNUMBER(SEARCH("Rending",$L200)),FALSE))), (7-(AJ$24-$I200))/6, AND(AJ$24-$I200 &gt;=7,NOT(_xlfn.IFNA(ISNUMBER(SEARCH("Rending",$L200)),FALSE))), 0, AJ$24-$I200 =7, (7-(AJ$24-1-$I200))/6, AJ$24-$I200 =8, (7-(AJ$24-2-$I200))/6*2/3, AJ$24-$I200 =9, (7-(AJ$24-3-$I200))/6*1/3, TRUE, 0) *
IF(ISNUMBER(SEARCH("Ordinance",$L200)),7/6,1) *
IF(OR(ISNUMBER(SEARCH("Melee",$L200)),ISNUMBER(SEARCH("Bypass",$L200))),1.5,1)</f>
        <v>0</v>
      </c>
      <c r="AK200" s="17" cm="1">
        <f t="array" ref="AK200">$H200 *
IF(ISNUMBER(SEARCH("Rapid",$L200)),7/6,1) *
IF(OR(ISNUMBER(SEARCH("Beam",$L200)),ISNUMBER(SEARCH("Firestorm",$L200))),1, IF(ISNUMBER(SEARCH("Blast",$L200)),(4+$G200+(2-$G200)*0.5)/6*2,(4+$G200)/6)) *
_xlfn.IFS(AK$24-$I200 &lt;=1, 5/6, AK$24-$I200 &lt;=5, (7-(AK$24-$I200))/6, AND(AK$24-$I200 =6,NOT(_xlfn.IFNA(ISNUMBER(SEARCH("Rending",$L200)),FALSE))), (7-(AK$24-$I200))/6, AND(AK$24-$I200 &gt;=7,NOT(_xlfn.IFNA(ISNUMBER(SEARCH("Rending",$L200)),FALSE))), 0, AK$24-$I200 =7, (7-(AK$24-1-$I200))/6, AK$24-$I200 =8, (7-(AK$24-2-$I200))/6*2/3, AK$24-$I200 =9, (7-(AK$24-3-$I200))/6*1/3, TRUE, 0) *
IF(ISNUMBER(SEARCH("Ordinance",$L200)),7/6,1) *
IF(OR(ISNUMBER(SEARCH("Melee",$L200)),ISNUMBER(SEARCH("Bypass",$L200))),1.5,1)</f>
        <v>0</v>
      </c>
      <c r="AL200" s="17" cm="1">
        <f t="array" ref="AL200">$H200 *
IF(ISNUMBER(SEARCH("Rapid",$L200)),7/6,1) *
IF(OR(ISNUMBER(SEARCH("Beam",$L200)),ISNUMBER(SEARCH("Firestorm",$L200))),1, IF(ISNUMBER(SEARCH("Blast",$L200)),(4+$G200+(2-$G200)*0.5)/6*2,(4+$G200)/6)) *
_xlfn.IFS(AL$24-$I200 &lt;=1, 5/6, AL$24-$I200 &lt;=5, (7-(AL$24-$I200))/6, AND(AL$24-$I200 =6,NOT(_xlfn.IFNA(ISNUMBER(SEARCH("Rending",$L200)),FALSE))), (7-(AL$24-$I200))/6, AND(AL$24-$I200 &gt;=7,NOT(_xlfn.IFNA(ISNUMBER(SEARCH("Rending",$L200)),FALSE))), 0, AL$24-$I200 =7, (7-(AL$24-1-$I200))/6, AL$24-$I200 =8, (7-(AL$24-2-$I200))/6*2/3, AL$24-$I200 =9, (7-(AL$24-3-$I200))/6*1/3, TRUE, 0) *
IF(ISNUMBER(SEARCH("Ordinance",$L200)),7/6,1) *
IF(OR(ISNUMBER(SEARCH("Melee",$L200)),ISNUMBER(SEARCH("Bypass",$L200))),1.5,1)</f>
        <v>0</v>
      </c>
      <c r="AM200" s="17" cm="1">
        <f t="array" ref="AM200">$H200 *
IF(ISNUMBER(SEARCH("Rapid",$L200)),7/6,1) *
IF(OR(ISNUMBER(SEARCH("Beam",$L200)),ISNUMBER(SEARCH("Firestorm",$L200))),1, IF(ISNUMBER(SEARCH("Blast",$L200)),(4+$G200+(2-$G200)*0.5)/6*2,(4+$G200)/6)) *
_xlfn.IFS(AM$24-$I200 &lt;=1, 5/6, AM$24-$I200 &lt;=5, (7-(AM$24-$I200))/6, AND(AM$24-$I200 =6,NOT(_xlfn.IFNA(ISNUMBER(SEARCH("Rending",$L200)),FALSE))), (7-(AM$24-$I200))/6, AND(AM$24-$I200 &gt;=7,NOT(_xlfn.IFNA(ISNUMBER(SEARCH("Rending",$L200)),FALSE))), 0, AM$24-$I200 =7, (7-(AM$24-1-$I200))/6, AM$24-$I200 =8, (7-(AM$24-2-$I200))/6*2/3, AM$24-$I200 =9, (7-(AM$24-3-$I200))/6*1/3, TRUE, 0) *
IF(ISNUMBER(SEARCH("Ordinance",$L200)),7/6,1) *
IF(OR(ISNUMBER(SEARCH("Melee",$L200)),ISNUMBER(SEARCH("Bypass",$L200))),1.5,1)</f>
        <v>0</v>
      </c>
      <c r="AN200" s="17" cm="1">
        <f t="array" ref="AN200">$H200 *
IF(ISNUMBER(SEARCH("Rapid",$L200)),7/6,1) *
IF(OR(ISNUMBER(SEARCH("Beam",$L200)),ISNUMBER(SEARCH("Firestorm",$L200))),1, IF(ISNUMBER(SEARCH("Blast",$L200)),(4+$G200+(2-$G200)*0.5)/6*2,(4+$G200)/6)) *
_xlfn.IFS(AN$24-$I200 &lt;=1, 5/6, AN$24-$I200 &lt;=5, (7-(AN$24-$I200))/6, AND(AN$24-$I200 =6,NOT(_xlfn.IFNA(ISNUMBER(SEARCH("Rending",$L200)),FALSE))), (7-(AN$24-$I200))/6, AND(AN$24-$I200 &gt;=7,NOT(_xlfn.IFNA(ISNUMBER(SEARCH("Rending",$L200)),FALSE))), 0, AN$24-$I200 =7, (7-(AN$24-1-$I200))/6, AN$24-$I200 =8, (7-(AN$24-2-$I200))/6*2/3, AN$24-$I200 =9, (7-(AN$24-3-$I200))/6*1/3, TRUE, 0) *
IF(ISNUMBER(SEARCH("Ordinance",$L200)),7/6,1) *
IF(OR(ISNUMBER(SEARCH("Melee",$L200)),ISNUMBER(SEARCH("Bypass",$L200))),1.5,1)</f>
        <v>0</v>
      </c>
      <c r="AO200" s="17" cm="1">
        <f t="array" ref="AO200">$H200 *
IF(ISNUMBER(SEARCH("Rapid",$L200)),7/6,1) *
IF(OR(ISNUMBER(SEARCH("Beam",$L200)),ISNUMBER(SEARCH("Firestorm",$L200))),1, IF(ISNUMBER(SEARCH("Blast",$L200)),(4+$G200+(2-$G200)*0.5)/6*2,(4+$G200)/6)) *
_xlfn.IFS(AO$24-$I200 &lt;=1, 5/6, AO$24-$I200 &lt;=5, (7-(AO$24-$I200))/6, AND(AO$24-$I200 =6,NOT(_xlfn.IFNA(ISNUMBER(SEARCH("Rending",$L200)),FALSE))), (7-(AO$24-$I200))/6, AND(AO$24-$I200 &gt;=7,NOT(_xlfn.IFNA(ISNUMBER(SEARCH("Rending",$L200)),FALSE))), 0, AO$24-$I200 =7, (7-(AO$24-1-$I200))/6, AO$24-$I200 =8, (7-(AO$24-2-$I200))/6*2/3, AO$24-$I200 =9, (7-(AO$24-3-$I200))/6*1/3, TRUE, 0) *
IF(ISNUMBER(SEARCH("Ordinance",$L200)),7/6,1) *
IF(OR(ISNUMBER(SEARCH("Melee",$L200)),ISNUMBER(SEARCH("Bypass",$L200))),1.5,1)</f>
        <v>0</v>
      </c>
      <c r="AP200" s="17" cm="1">
        <f t="array" ref="AP200">$H200 *
IF(ISNUMBER(SEARCH("Rapid",$L200)),7/6,1) *
IF(OR(ISNUMBER(SEARCH("Beam",$L200)),ISNUMBER(SEARCH("Firestorm",$L200))),1, IF(ISNUMBER(SEARCH("Blast",$L200)),(4+$G200+(2-$G200)*0.5)/6*2,(4+$G200)/6)) *
_xlfn.IFS(AP$24-$I200 &lt;=1, 5/6, AP$24-$I200 &lt;=5, (7-(AP$24-$I200))/6, AND(AP$24-$I200 =6,NOT(_xlfn.IFNA(ISNUMBER(SEARCH("Rending",$L200)),FALSE))), (7-(AP$24-$I200))/6, AND(AP$24-$I200 &gt;=7,NOT(_xlfn.IFNA(ISNUMBER(SEARCH("Rending",$L200)),FALSE))), 0, AP$24-$I200 =7, (7-(AP$24-1-$I200))/6, AP$24-$I200 =8, (7-(AP$24-2-$I200))/6*2/3, AP$24-$I200 =9, (7-(AP$24-3-$I200))/6*1/3, TRUE, 0) *
IF(ISNUMBER(SEARCH("Ordinance",$L200)),7/6,1) *
IF(OR(ISNUMBER(SEARCH("Melee",$L200)),ISNUMBER(SEARCH("Bypass",$L200))),1.5,1)</f>
        <v>0</v>
      </c>
      <c r="AQ200" s="17" cm="1">
        <f t="array" ref="AQ200">$H200 *
IF(ISNUMBER(SEARCH("Rapid",$L200)),7/6,1) *
IF(OR(ISNUMBER(SEARCH("Beam",$L200)),ISNUMBER(SEARCH("Firestorm",$L200))),1, IF(ISNUMBER(SEARCH("Blast",$L200)),(4+$G200+(2-$G200)*0.5)/6*2,(4+$G200)/6)) *
_xlfn.IFS(AQ$24-$I200 &lt;=1, 5/6, AQ$24-$I200 &lt;=5, (7-(AQ$24-$I200))/6, AND(AQ$24-$I200 =6,NOT(_xlfn.IFNA(ISNUMBER(SEARCH("Rending",$L200)),FALSE))), (7-(AQ$24-$I200))/6, AND(AQ$24-$I200 &gt;=7,NOT(_xlfn.IFNA(ISNUMBER(SEARCH("Rending",$L200)),FALSE))), 0, AQ$24-$I200 =7, (7-(AQ$24-1-$I200))/6, AQ$24-$I200 =8, (7-(AQ$24-2-$I200))/6*2/3, AQ$24-$I200 =9, (7-(AQ$24-3-$I200))/6*1/3, TRUE, 0) *
IF(ISNUMBER(SEARCH("Ordinance",$L200)),7/6,1) *
IF(OR(ISNUMBER(SEARCH("Melee",$L200)),ISNUMBER(SEARCH("Bypass",$L200))),1.5,1)</f>
        <v>0</v>
      </c>
    </row>
    <row r="201" spans="1:48" x14ac:dyDescent="0.3">
      <c r="A201" t="str">
        <f>'40K9_Stats'!O12</f>
        <v>Cloudburst Missile Launcher</v>
      </c>
      <c r="B201" s="3">
        <v>12</v>
      </c>
      <c r="C201" s="3">
        <v>24</v>
      </c>
      <c r="D201" s="3">
        <v>1</v>
      </c>
      <c r="E201" s="3">
        <v>2</v>
      </c>
      <c r="F201" s="10"/>
      <c r="G201" s="10">
        <v>1</v>
      </c>
      <c r="H201" s="3">
        <v>4</v>
      </c>
      <c r="I201" s="3">
        <v>5</v>
      </c>
      <c r="J201" s="3" t="s">
        <v>596</v>
      </c>
      <c r="K201" s="3">
        <v>10</v>
      </c>
      <c r="L201" s="3" t="s">
        <v>258</v>
      </c>
      <c r="M201" s="3" t="s">
        <v>199</v>
      </c>
      <c r="N201" s="3">
        <v>9</v>
      </c>
      <c r="O201" s="3">
        <v>9</v>
      </c>
      <c r="P201" s="3">
        <v>13</v>
      </c>
      <c r="Q201" s="3" t="s">
        <v>200</v>
      </c>
      <c r="R201" s="3">
        <v>7</v>
      </c>
      <c r="S201" s="3">
        <v>9</v>
      </c>
      <c r="T201" s="3">
        <v>4</v>
      </c>
      <c r="V201" s="16">
        <f t="shared" si="51"/>
        <v>0.88888888888888884</v>
      </c>
      <c r="W201" s="16">
        <f t="shared" si="52"/>
        <v>1.3333333333333333</v>
      </c>
      <c r="X201" s="17" cm="1">
        <f t="array" ref="X201">$H201 *
IF(ISNUMBER(SEARCH("Rapid",$L201)),7/6,1) *
IF(OR(ISNUMBER(SEARCH("Beam",$L201)),ISNUMBER(SEARCH("Firestorm",$L201))),1, IF(ISNUMBER(SEARCH("Blast",$L201)),(4+$F201+(2-$F201)*0.5)/6*2,(4+$F201)/6)) *
IF(ISNUMBER(SEARCH("Fusion",$L201)), _xlfn.IFS(X$24-$I201 &lt;=1, 9/10, X$24-$I201 &lt;=10,(11-(X$24-$I201))/10, X$24-$I201 &gt;=11, 0),
_xlfn.IFS(X$24-$I201 &lt;=1, 5/6, X$24-$I201 &lt;=5, (7-(X$24-$I201))/6, AND(X$24-$I201 =6,NOT(_xlfn.IFNA(ISNUMBER(SEARCH("Rending",$L201)),FALSE))), (7-(X$24-$I201))/6, AND(X$24-$I201 &gt;=7,NOT(_xlfn.IFNA(ISNUMBER(SEARCH("Rending",$L201)),FALSE))), 0, X$24-$I201 =7, (7-(X$24-1-$I201))/6, X$24-$I201 =8, (7-(X$24-2-$I201))/6*2/3, X$24-$I201 =9, (7-(X$24-3-$I201))/6*1/3, TRUE, 0)) *
IF(ISNUMBER(SEARCH("Ordinance",$L201)),7/6,1) *
IF(OR(ISNUMBER(SEARCH("Melee",$L201)),ISNUMBER(SEARCH("Bypass",$L201))),1.5,1)</f>
        <v>1.3333333333333333</v>
      </c>
      <c r="Y201" s="17" cm="1">
        <f t="array" ref="Y201">$H201 *
IF(ISNUMBER(SEARCH("Rapid",$L201)),7/6,1) *
IF(OR(ISNUMBER(SEARCH("Beam",$L201)),ISNUMBER(SEARCH("Firestorm",$L201))),1, IF(ISNUMBER(SEARCH("Blast",$L201)),(4+$F201+(2-$F201)*0.5)/6*2,(4+$F201)/6)) *
IF(ISNUMBER(SEARCH("Fusion",$L201)), _xlfn.IFS(Y$24-$I201 &lt;=1, 9/10, Y$24-$I201 &lt;=10,(11-(Y$24-$I201))/10, Y$24-$I201 &gt;=11, 0),
_xlfn.IFS(Y$24-$I201 &lt;=1, 5/6, Y$24-$I201 &lt;=5, (7-(Y$24-$I201))/6, AND(Y$24-$I201 =6,NOT(_xlfn.IFNA(ISNUMBER(SEARCH("Rending",$L201)),FALSE))), (7-(Y$24-$I201))/6, AND(Y$24-$I201 &gt;=7,NOT(_xlfn.IFNA(ISNUMBER(SEARCH("Rending",$L201)),FALSE))), 0, Y$24-$I201 =7, (7-(Y$24-1-$I201))/6, Y$24-$I201 =8, (7-(Y$24-2-$I201))/6*2/3, Y$24-$I201 =9, (7-(Y$24-3-$I201))/6*1/3, TRUE, 0)) *
IF(ISNUMBER(SEARCH("Ordinance",$L201)),7/6,1) *
IF(OR(ISNUMBER(SEARCH("Melee",$L201)),ISNUMBER(SEARCH("Bypass",$L201))),1.5,1)</f>
        <v>0.88888888888888884</v>
      </c>
      <c r="Z201" s="17" cm="1">
        <f t="array" ref="Z201">$H201 *
IF(ISNUMBER(SEARCH("Rapid",$L201)),7/6,1) *
IF(OR(ISNUMBER(SEARCH("Beam",$L201)),ISNUMBER(SEARCH("Firestorm",$L201))),1, IF(ISNUMBER(SEARCH("Blast",$L201)),(4+$F201+(2-$F201)*0.5)/6*2,(4+$F201)/6)) *
IF(ISNUMBER(SEARCH("Fusion",$L201)), _xlfn.IFS(Z$24-$I201 &lt;=1, 9/10, Z$24-$I201 &lt;=10,(11-(Z$24-$I201))/10, Z$24-$I201 &gt;=11, 0),
_xlfn.IFS(Z$24-$I201 &lt;=1, 5/6, Z$24-$I201 &lt;=5, (7-(Z$24-$I201))/6, AND(Z$24-$I201 =6,NOT(_xlfn.IFNA(ISNUMBER(SEARCH("Rending",$L201)),FALSE))), (7-(Z$24-$I201))/6, AND(Z$24-$I201 &gt;=7,NOT(_xlfn.IFNA(ISNUMBER(SEARCH("Rending",$L201)),FALSE))), 0, Z$24-$I201 =7, (7-(Z$24-1-$I201))/6, Z$24-$I201 =8, (7-(Z$24-2-$I201))/6*2/3, Z$24-$I201 =9, (7-(Z$24-3-$I201))/6*1/3, TRUE, 0)) *
IF(ISNUMBER(SEARCH("Ordinance",$L201)),7/6,1) *
IF(OR(ISNUMBER(SEARCH("Melee",$L201)),ISNUMBER(SEARCH("Bypass",$L201))),1.5,1)</f>
        <v>0.44444444444444442</v>
      </c>
      <c r="AA201" s="17" cm="1">
        <f t="array" ref="AA201">$H201 *
IF(ISNUMBER(SEARCH("Rapid",$L201)),7/6,1) *
IF(OR(ISNUMBER(SEARCH("Beam",$L201)),ISNUMBER(SEARCH("Firestorm",$L201))),1, IF(ISNUMBER(SEARCH("Blast",$L201)),(4+$F201+(2-$F201)*0.5)/6*2,(4+$F201)/6)) *
IF(ISNUMBER(SEARCH("Fusion",$L201)), _xlfn.IFS(AA$24-$I201 &lt;=1, 9/10, AA$24-$I201 &lt;=10,(11-(AA$24-$I201))/10, AA$24-$I201 &gt;=11, 0),
_xlfn.IFS(AA$24-$I201 &lt;=1, 5/6, AA$24-$I201 &lt;=5, (7-(AA$24-$I201))/6, AND(AA$24-$I201 =6,NOT(_xlfn.IFNA(ISNUMBER(SEARCH("Rending",$L201)),FALSE))), (7-(AA$24-$I201))/6, AND(AA$24-$I201 &gt;=7,NOT(_xlfn.IFNA(ISNUMBER(SEARCH("Rending",$L201)),FALSE))), 0, AA$24-$I201 =7, (7-(AA$24-1-$I201))/6, AA$24-$I201 =8, (7-(AA$24-2-$I201))/6*2/3, AA$24-$I201 =9, (7-(AA$24-3-$I201))/6*1/3, TRUE, 0)) *
IF(ISNUMBER(SEARCH("Ordinance",$L201)),7/6,1) *
IF(OR(ISNUMBER(SEARCH("Melee",$L201)),ISNUMBER(SEARCH("Bypass",$L201))),1.5,1)</f>
        <v>0</v>
      </c>
      <c r="AB201" s="17" cm="1">
        <f t="array" ref="AB201">$H201 *
IF(ISNUMBER(SEARCH("Rapid",$L201)),7/6,1) *
IF(OR(ISNUMBER(SEARCH("Beam",$L201)),ISNUMBER(SEARCH("Firestorm",$L201))),1, IF(ISNUMBER(SEARCH("Blast",$L201)),(4+$F201+(2-$F201)*0.5)/6*2,(4+$F201)/6)) *
IF(ISNUMBER(SEARCH("Fusion",$L201)), _xlfn.IFS(AB$24-$I201 &lt;=1, 9/10, AB$24-$I201 &lt;=10,(11-(AB$24-$I201))/10, AB$24-$I201 &gt;=11, 0),
_xlfn.IFS(AB$24-$I201 &lt;=1, 5/6, AB$24-$I201 &lt;=5, (7-(AB$24-$I201))/6, AND(AB$24-$I201 =6,NOT(_xlfn.IFNA(ISNUMBER(SEARCH("Rending",$L201)),FALSE))), (7-(AB$24-$I201))/6, AND(AB$24-$I201 &gt;=7,NOT(_xlfn.IFNA(ISNUMBER(SEARCH("Rending",$L201)),FALSE))), 0, AB$24-$I201 =7, (7-(AB$24-1-$I201))/6, AB$24-$I201 =8, (7-(AB$24-2-$I201))/6*2/3, AB$24-$I201 =9, (7-(AB$24-3-$I201))/6*1/3, TRUE, 0)) *
IF(ISNUMBER(SEARCH("Ordinance",$L201)),7/6,1) *
IF(OR(ISNUMBER(SEARCH("Melee",$L201)),ISNUMBER(SEARCH("Bypass",$L201))),1.5,1)</f>
        <v>0</v>
      </c>
      <c r="AC201" s="17" cm="1">
        <f t="array" ref="AC201">$H201 *
IF(ISNUMBER(SEARCH("Rapid",$L201)),7/6,1) *
IF(OR(ISNUMBER(SEARCH("Beam",$L201)),ISNUMBER(SEARCH("Firestorm",$L201))),1, IF(ISNUMBER(SEARCH("Blast",$L201)),(4+$F201+(2-$F201)*0.5)/6*2,(4+$F201)/6)) *
IF(ISNUMBER(SEARCH("Fusion",$L201)), _xlfn.IFS(AC$24-$I201 &lt;=1, 9/10, AC$24-$I201 &lt;=10,(11-(AC$24-$I201))/10, AC$24-$I201 &gt;=11, 0),
_xlfn.IFS(AC$24-$I201 &lt;=1, 5/6, AC$24-$I201 &lt;=5, (7-(AC$24-$I201))/6, AND(AC$24-$I201 =6,NOT(_xlfn.IFNA(ISNUMBER(SEARCH("Rending",$L201)),FALSE))), (7-(AC$24-$I201))/6, AND(AC$24-$I201 &gt;=7,NOT(_xlfn.IFNA(ISNUMBER(SEARCH("Rending",$L201)),FALSE))), 0, AC$24-$I201 =7, (7-(AC$24-1-$I201))/6, AC$24-$I201 =8, (7-(AC$24-2-$I201))/6*2/3, AC$24-$I201 =9, (7-(AC$24-3-$I201))/6*1/3, TRUE, 0)) *
IF(ISNUMBER(SEARCH("Ordinance",$L201)),7/6,1) *
IF(OR(ISNUMBER(SEARCH("Melee",$L201)),ISNUMBER(SEARCH("Bypass",$L201))),1.5,1)</f>
        <v>0</v>
      </c>
      <c r="AD201" s="17" cm="1">
        <f t="array" ref="AD201">$H201 *
IF(ISNUMBER(SEARCH("Rapid",$L201)),7/6,1) *
IF(OR(ISNUMBER(SEARCH("Beam",$L201)),ISNUMBER(SEARCH("Firestorm",$L201))),1, IF(ISNUMBER(SEARCH("Blast",$L201)),(4+$F201+(2-$F201)*0.5)/6*2,(4+$F201)/6)) *
IF(ISNUMBER(SEARCH("Fusion",$L201)), _xlfn.IFS(AD$24-$I201 &lt;=1, 9/10, AD$24-$I201 &lt;=10,(11-(AD$24-$I201))/10, AD$24-$I201 &gt;=11, 0),
_xlfn.IFS(AD$24-$I201 &lt;=1, 5/6, AD$24-$I201 &lt;=5, (7-(AD$24-$I201))/6, AND(AD$24-$I201 =6,NOT(_xlfn.IFNA(ISNUMBER(SEARCH("Rending",$L201)),FALSE))), (7-(AD$24-$I201))/6, AND(AD$24-$I201 &gt;=7,NOT(_xlfn.IFNA(ISNUMBER(SEARCH("Rending",$L201)),FALSE))), 0, AD$24-$I201 =7, (7-(AD$24-1-$I201))/6, AD$24-$I201 =8, (7-(AD$24-2-$I201))/6*2/3, AD$24-$I201 =9, (7-(AD$24-3-$I201))/6*1/3, TRUE, 0)) *
IF(ISNUMBER(SEARCH("Ordinance",$L201)),7/6,1) *
IF(OR(ISNUMBER(SEARCH("Melee",$L201)),ISNUMBER(SEARCH("Bypass",$L201))),1.5,1)</f>
        <v>0</v>
      </c>
      <c r="AE201" s="17" cm="1">
        <f t="array" ref="AE201">$H201 *
IF(ISNUMBER(SEARCH("Rapid",$L201)),7/6,1) *
IF(OR(ISNUMBER(SEARCH("Beam",$L201)),ISNUMBER(SEARCH("Firestorm",$L201))),1, IF(ISNUMBER(SEARCH("Blast",$L201)),(4+$F201+(2-$F201)*0.5)/6*2,(4+$F201)/6)) *
IF(ISNUMBER(SEARCH("Fusion",$L201)), _xlfn.IFS(AE$24-$I201 &lt;=1, 9/10, AE$24-$I201 &lt;=10,(11-(AE$24-$I201))/10, AE$24-$I201 &gt;=11, 0),
_xlfn.IFS(AE$24-$I201 &lt;=1, 5/6, AE$24-$I201 &lt;=5, (7-(AE$24-$I201))/6, AND(AE$24-$I201 =6,NOT(_xlfn.IFNA(ISNUMBER(SEARCH("Rending",$L201)),FALSE))), (7-(AE$24-$I201))/6, AND(AE$24-$I201 &gt;=7,NOT(_xlfn.IFNA(ISNUMBER(SEARCH("Rending",$L201)),FALSE))), 0, AE$24-$I201 =7, (7-(AE$24-1-$I201))/6, AE$24-$I201 =8, (7-(AE$24-2-$I201))/6*2/3, AE$24-$I201 =9, (7-(AE$24-3-$I201))/6*1/3, TRUE, 0)) *
IF(ISNUMBER(SEARCH("Ordinance",$L201)),7/6,1) *
IF(OR(ISNUMBER(SEARCH("Melee",$L201)),ISNUMBER(SEARCH("Bypass",$L201))),1.5,1)</f>
        <v>0</v>
      </c>
      <c r="AF201" s="17" cm="1">
        <f t="array" ref="AF201">$H201 *
IF(ISNUMBER(SEARCH("Rapid",$L201)),7/6,1) *
IF(OR(ISNUMBER(SEARCH("Beam",$L201)),ISNUMBER(SEARCH("Firestorm",$L201))),1, IF(ISNUMBER(SEARCH("Blast",$L201)),(4+$F201+(2-$F201)*0.5)/6*2,(4+$F201)/6)) *
IF(ISNUMBER(SEARCH("Fusion",$L201)), _xlfn.IFS(AF$24-$I201 &lt;=1, 9/10, AF$24-$I201 &lt;=10,(11-(AF$24-$I201))/10, AF$24-$I201 &gt;=11, 0),
_xlfn.IFS(AF$24-$I201 &lt;=1, 5/6, AF$24-$I201 &lt;=5, (7-(AF$24-$I201))/6, AND(AF$24-$I201 =6,NOT(_xlfn.IFNA(ISNUMBER(SEARCH("Rending",$L201)),FALSE))), (7-(AF$24-$I201))/6, AND(AF$24-$I201 &gt;=7,NOT(_xlfn.IFNA(ISNUMBER(SEARCH("Rending",$L201)),FALSE))), 0, AF$24-$I201 =7, (7-(AF$24-1-$I201))/6, AF$24-$I201 =8, (7-(AF$24-2-$I201))/6*2/3, AF$24-$I201 =9, (7-(AF$24-3-$I201))/6*1/3, TRUE, 0)) *
IF(ISNUMBER(SEARCH("Ordinance",$L201)),7/6,1) *
IF(OR(ISNUMBER(SEARCH("Melee",$L201)),ISNUMBER(SEARCH("Bypass",$L201))),1.5,1)</f>
        <v>0</v>
      </c>
      <c r="AG201" s="16">
        <f t="shared" si="53"/>
        <v>1.1111111111111112</v>
      </c>
      <c r="AH201" s="16">
        <f t="shared" si="54"/>
        <v>1.6666666666666667</v>
      </c>
      <c r="AI201" s="17" cm="1">
        <f t="array" ref="AI201">$H201 *
IF(ISNUMBER(SEARCH("Rapid",$L201)),7/6,1) *
IF(OR(ISNUMBER(SEARCH("Beam",$L201)),ISNUMBER(SEARCH("Firestorm",$L201))),1, IF(ISNUMBER(SEARCH("Blast",$L201)),(4+$G201+(2-$G201)*0.5)/6*2,(4+$G201)/6)) *
_xlfn.IFS(AI$24-$I201 &lt;=1, 5/6, AI$24-$I201 &lt;=5, (7-(AI$24-$I201))/6, AND(AI$24-$I201 =6,NOT(_xlfn.IFNA(ISNUMBER(SEARCH("Rending",$L201)),FALSE))), (7-(AI$24-$I201))/6, AND(AI$24-$I201 &gt;=7,NOT(_xlfn.IFNA(ISNUMBER(SEARCH("Rending",$L201)),FALSE))), 0, AI$24-$I201 =7, (7-(AI$24-1-$I201))/6, AI$24-$I201 =8, (7-(AI$24-2-$I201))/6*2/3, AI$24-$I201 =9, (7-(AI$24-3-$I201))/6*1/3, TRUE, 0) *
IF(ISNUMBER(SEARCH("Ordinance",$L201)),7/6,1) *
IF(OR(ISNUMBER(SEARCH("Melee",$L201)),ISNUMBER(SEARCH("Bypass",$L201))),1.5,1)</f>
        <v>1.6666666666666667</v>
      </c>
      <c r="AJ201" s="17" cm="1">
        <f t="array" ref="AJ201">$H201 *
IF(ISNUMBER(SEARCH("Rapid",$L201)),7/6,1) *
IF(OR(ISNUMBER(SEARCH("Beam",$L201)),ISNUMBER(SEARCH("Firestorm",$L201))),1, IF(ISNUMBER(SEARCH("Blast",$L201)),(4+$G201+(2-$G201)*0.5)/6*2,(4+$G201)/6)) *
_xlfn.IFS(AJ$24-$I201 &lt;=1, 5/6, AJ$24-$I201 &lt;=5, (7-(AJ$24-$I201))/6, AND(AJ$24-$I201 =6,NOT(_xlfn.IFNA(ISNUMBER(SEARCH("Rending",$L201)),FALSE))), (7-(AJ$24-$I201))/6, AND(AJ$24-$I201 &gt;=7,NOT(_xlfn.IFNA(ISNUMBER(SEARCH("Rending",$L201)),FALSE))), 0, AJ$24-$I201 =7, (7-(AJ$24-1-$I201))/6, AJ$24-$I201 =8, (7-(AJ$24-2-$I201))/6*2/3, AJ$24-$I201 =9, (7-(AJ$24-3-$I201))/6*1/3, TRUE, 0) *
IF(ISNUMBER(SEARCH("Ordinance",$L201)),7/6,1) *
IF(OR(ISNUMBER(SEARCH("Melee",$L201)),ISNUMBER(SEARCH("Bypass",$L201))),1.5,1)</f>
        <v>1.1111111111111112</v>
      </c>
      <c r="AK201" s="17" cm="1">
        <f t="array" ref="AK201">$H201 *
IF(ISNUMBER(SEARCH("Rapid",$L201)),7/6,1) *
IF(OR(ISNUMBER(SEARCH("Beam",$L201)),ISNUMBER(SEARCH("Firestorm",$L201))),1, IF(ISNUMBER(SEARCH("Blast",$L201)),(4+$G201+(2-$G201)*0.5)/6*2,(4+$G201)/6)) *
_xlfn.IFS(AK$24-$I201 &lt;=1, 5/6, AK$24-$I201 &lt;=5, (7-(AK$24-$I201))/6, AND(AK$24-$I201 =6,NOT(_xlfn.IFNA(ISNUMBER(SEARCH("Rending",$L201)),FALSE))), (7-(AK$24-$I201))/6, AND(AK$24-$I201 &gt;=7,NOT(_xlfn.IFNA(ISNUMBER(SEARCH("Rending",$L201)),FALSE))), 0, AK$24-$I201 =7, (7-(AK$24-1-$I201))/6, AK$24-$I201 =8, (7-(AK$24-2-$I201))/6*2/3, AK$24-$I201 =9, (7-(AK$24-3-$I201))/6*1/3, TRUE, 0) *
IF(ISNUMBER(SEARCH("Ordinance",$L201)),7/6,1) *
IF(OR(ISNUMBER(SEARCH("Melee",$L201)),ISNUMBER(SEARCH("Bypass",$L201))),1.5,1)</f>
        <v>0.55555555555555558</v>
      </c>
      <c r="AL201" s="17" cm="1">
        <f t="array" ref="AL201">$H201 *
IF(ISNUMBER(SEARCH("Rapid",$L201)),7/6,1) *
IF(OR(ISNUMBER(SEARCH("Beam",$L201)),ISNUMBER(SEARCH("Firestorm",$L201))),1, IF(ISNUMBER(SEARCH("Blast",$L201)),(4+$G201+(2-$G201)*0.5)/6*2,(4+$G201)/6)) *
_xlfn.IFS(AL$24-$I201 &lt;=1, 5/6, AL$24-$I201 &lt;=5, (7-(AL$24-$I201))/6, AND(AL$24-$I201 =6,NOT(_xlfn.IFNA(ISNUMBER(SEARCH("Rending",$L201)),FALSE))), (7-(AL$24-$I201))/6, AND(AL$24-$I201 &gt;=7,NOT(_xlfn.IFNA(ISNUMBER(SEARCH("Rending",$L201)),FALSE))), 0, AL$24-$I201 =7, (7-(AL$24-1-$I201))/6, AL$24-$I201 =8, (7-(AL$24-2-$I201))/6*2/3, AL$24-$I201 =9, (7-(AL$24-3-$I201))/6*1/3, TRUE, 0) *
IF(ISNUMBER(SEARCH("Ordinance",$L201)),7/6,1) *
IF(OR(ISNUMBER(SEARCH("Melee",$L201)),ISNUMBER(SEARCH("Bypass",$L201))),1.5,1)</f>
        <v>0</v>
      </c>
      <c r="AM201" s="17" cm="1">
        <f t="array" ref="AM201">$H201 *
IF(ISNUMBER(SEARCH("Rapid",$L201)),7/6,1) *
IF(OR(ISNUMBER(SEARCH("Beam",$L201)),ISNUMBER(SEARCH("Firestorm",$L201))),1, IF(ISNUMBER(SEARCH("Blast",$L201)),(4+$G201+(2-$G201)*0.5)/6*2,(4+$G201)/6)) *
_xlfn.IFS(AM$24-$I201 &lt;=1, 5/6, AM$24-$I201 &lt;=5, (7-(AM$24-$I201))/6, AND(AM$24-$I201 =6,NOT(_xlfn.IFNA(ISNUMBER(SEARCH("Rending",$L201)),FALSE))), (7-(AM$24-$I201))/6, AND(AM$24-$I201 &gt;=7,NOT(_xlfn.IFNA(ISNUMBER(SEARCH("Rending",$L201)),FALSE))), 0, AM$24-$I201 =7, (7-(AM$24-1-$I201))/6, AM$24-$I201 =8, (7-(AM$24-2-$I201))/6*2/3, AM$24-$I201 =9, (7-(AM$24-3-$I201))/6*1/3, TRUE, 0) *
IF(ISNUMBER(SEARCH("Ordinance",$L201)),7/6,1) *
IF(OR(ISNUMBER(SEARCH("Melee",$L201)),ISNUMBER(SEARCH("Bypass",$L201))),1.5,1)</f>
        <v>0</v>
      </c>
      <c r="AN201" s="17" cm="1">
        <f t="array" ref="AN201">$H201 *
IF(ISNUMBER(SEARCH("Rapid",$L201)),7/6,1) *
IF(OR(ISNUMBER(SEARCH("Beam",$L201)),ISNUMBER(SEARCH("Firestorm",$L201))),1, IF(ISNUMBER(SEARCH("Blast",$L201)),(4+$G201+(2-$G201)*0.5)/6*2,(4+$G201)/6)) *
_xlfn.IFS(AN$24-$I201 &lt;=1, 5/6, AN$24-$I201 &lt;=5, (7-(AN$24-$I201))/6, AND(AN$24-$I201 =6,NOT(_xlfn.IFNA(ISNUMBER(SEARCH("Rending",$L201)),FALSE))), (7-(AN$24-$I201))/6, AND(AN$24-$I201 &gt;=7,NOT(_xlfn.IFNA(ISNUMBER(SEARCH("Rending",$L201)),FALSE))), 0, AN$24-$I201 =7, (7-(AN$24-1-$I201))/6, AN$24-$I201 =8, (7-(AN$24-2-$I201))/6*2/3, AN$24-$I201 =9, (7-(AN$24-3-$I201))/6*1/3, TRUE, 0) *
IF(ISNUMBER(SEARCH("Ordinance",$L201)),7/6,1) *
IF(OR(ISNUMBER(SEARCH("Melee",$L201)),ISNUMBER(SEARCH("Bypass",$L201))),1.5,1)</f>
        <v>0</v>
      </c>
      <c r="AO201" s="17" cm="1">
        <f t="array" ref="AO201">$H201 *
IF(ISNUMBER(SEARCH("Rapid",$L201)),7/6,1) *
IF(OR(ISNUMBER(SEARCH("Beam",$L201)),ISNUMBER(SEARCH("Firestorm",$L201))),1, IF(ISNUMBER(SEARCH("Blast",$L201)),(4+$G201+(2-$G201)*0.5)/6*2,(4+$G201)/6)) *
_xlfn.IFS(AO$24-$I201 &lt;=1, 5/6, AO$24-$I201 &lt;=5, (7-(AO$24-$I201))/6, AND(AO$24-$I201 =6,NOT(_xlfn.IFNA(ISNUMBER(SEARCH("Rending",$L201)),FALSE))), (7-(AO$24-$I201))/6, AND(AO$24-$I201 &gt;=7,NOT(_xlfn.IFNA(ISNUMBER(SEARCH("Rending",$L201)),FALSE))), 0, AO$24-$I201 =7, (7-(AO$24-1-$I201))/6, AO$24-$I201 =8, (7-(AO$24-2-$I201))/6*2/3, AO$24-$I201 =9, (7-(AO$24-3-$I201))/6*1/3, TRUE, 0) *
IF(ISNUMBER(SEARCH("Ordinance",$L201)),7/6,1) *
IF(OR(ISNUMBER(SEARCH("Melee",$L201)),ISNUMBER(SEARCH("Bypass",$L201))),1.5,1)</f>
        <v>0</v>
      </c>
      <c r="AP201" s="17" cm="1">
        <f t="array" ref="AP201">$H201 *
IF(ISNUMBER(SEARCH("Rapid",$L201)),7/6,1) *
IF(OR(ISNUMBER(SEARCH("Beam",$L201)),ISNUMBER(SEARCH("Firestorm",$L201))),1, IF(ISNUMBER(SEARCH("Blast",$L201)),(4+$G201+(2-$G201)*0.5)/6*2,(4+$G201)/6)) *
_xlfn.IFS(AP$24-$I201 &lt;=1, 5/6, AP$24-$I201 &lt;=5, (7-(AP$24-$I201))/6, AND(AP$24-$I201 =6,NOT(_xlfn.IFNA(ISNUMBER(SEARCH("Rending",$L201)),FALSE))), (7-(AP$24-$I201))/6, AND(AP$24-$I201 &gt;=7,NOT(_xlfn.IFNA(ISNUMBER(SEARCH("Rending",$L201)),FALSE))), 0, AP$24-$I201 =7, (7-(AP$24-1-$I201))/6, AP$24-$I201 =8, (7-(AP$24-2-$I201))/6*2/3, AP$24-$I201 =9, (7-(AP$24-3-$I201))/6*1/3, TRUE, 0) *
IF(ISNUMBER(SEARCH("Ordinance",$L201)),7/6,1) *
IF(OR(ISNUMBER(SEARCH("Melee",$L201)),ISNUMBER(SEARCH("Bypass",$L201))),1.5,1)</f>
        <v>0</v>
      </c>
      <c r="AQ201" s="17" cm="1">
        <f t="array" ref="AQ201">$H201 *
IF(ISNUMBER(SEARCH("Rapid",$L201)),7/6,1) *
IF(OR(ISNUMBER(SEARCH("Beam",$L201)),ISNUMBER(SEARCH("Firestorm",$L201))),1, IF(ISNUMBER(SEARCH("Blast",$L201)),(4+$G201+(2-$G201)*0.5)/6*2,(4+$G201)/6)) *
_xlfn.IFS(AQ$24-$I201 &lt;=1, 5/6, AQ$24-$I201 &lt;=5, (7-(AQ$24-$I201))/6, AND(AQ$24-$I201 =6,NOT(_xlfn.IFNA(ISNUMBER(SEARCH("Rending",$L201)),FALSE))), (7-(AQ$24-$I201))/6, AND(AQ$24-$I201 &gt;=7,NOT(_xlfn.IFNA(ISNUMBER(SEARCH("Rending",$L201)),FALSE))), 0, AQ$24-$I201 =7, (7-(AQ$24-1-$I201))/6, AQ$24-$I201 =8, (7-(AQ$24-2-$I201))/6*2/3, AQ$24-$I201 =9, (7-(AQ$24-3-$I201))/6*1/3, TRUE, 0) *
IF(ISNUMBER(SEARCH("Ordinance",$L201)),7/6,1) *
IF(OR(ISNUMBER(SEARCH("Melee",$L201)),ISNUMBER(SEARCH("Bypass",$L201))),1.5,1)</f>
        <v>0</v>
      </c>
      <c r="AS201" s="16">
        <f t="shared" ref="AS201:AT203" si="55">IF($E201=1,AG201*3,IF($E201=2,2*AG201,1.1*AG201))/3</f>
        <v>0.74074074074074081</v>
      </c>
      <c r="AT201" s="16">
        <f t="shared" si="55"/>
        <v>1.1111111111111112</v>
      </c>
      <c r="AU201" s="16">
        <f>IF(D201+E201=3,
 IF(E201=3, 2.5*AI201,
  IF(E201=2, 1.8*AI201+0.7*X201,
   IF(E201=1, 0.95*AI201+1.55*X201,
    2.5*X201))),
 IF(D201+E201=2,
  IF(E201=2, 1.55*AI201,
   IF(E201 =1, 0.85*AI201+0.7*X201,
    1.55*X201)),
  IF(E201=1, 0.95*AI201,
   0.7*X201))
)/3</f>
        <v>1.3111111111111111</v>
      </c>
      <c r="AV201" s="2">
        <v>9</v>
      </c>
    </row>
    <row r="202" spans="1:48" x14ac:dyDescent="0.3">
      <c r="A202" t="str">
        <f>'40K9_Stats'!O13</f>
        <v>Revenant Pulsar</v>
      </c>
      <c r="B202" s="3">
        <v>18</v>
      </c>
      <c r="C202" s="3">
        <v>30</v>
      </c>
      <c r="D202" s="3">
        <v>1</v>
      </c>
      <c r="E202" s="3">
        <v>2</v>
      </c>
      <c r="F202" s="10">
        <v>0</v>
      </c>
      <c r="G202" s="10"/>
      <c r="H202" s="3">
        <v>2</v>
      </c>
      <c r="I202" s="3">
        <v>8</v>
      </c>
      <c r="J202" s="3" t="s">
        <v>597</v>
      </c>
      <c r="K202" s="3">
        <v>25</v>
      </c>
      <c r="L202" s="3" t="s">
        <v>337</v>
      </c>
      <c r="M202" s="3" t="s">
        <v>599</v>
      </c>
      <c r="N202" s="3">
        <v>9</v>
      </c>
      <c r="O202" s="3">
        <v>9</v>
      </c>
      <c r="P202" s="3">
        <v>13</v>
      </c>
      <c r="Q202" s="3" t="s">
        <v>200</v>
      </c>
      <c r="R202" s="3">
        <v>7</v>
      </c>
      <c r="S202" s="3">
        <v>9</v>
      </c>
      <c r="T202" s="3">
        <v>4</v>
      </c>
      <c r="V202" s="16">
        <f t="shared" si="51"/>
        <v>0.66666666666666663</v>
      </c>
      <c r="W202" s="16">
        <f t="shared" si="52"/>
        <v>0.88888888888888884</v>
      </c>
      <c r="X202" s="17" cm="1">
        <f t="array" ref="X202">$H202 *
IF(ISNUMBER(SEARCH("Rapid",$L202)),7/6,1) *
IF(OR(ISNUMBER(SEARCH("Beam",$L202)),ISNUMBER(SEARCH("Firestorm",$L202))),1, IF(ISNUMBER(SEARCH("Blast",$L202)),(4+$F202+(2-$F202)*0.5)/6*2,(4+$F202)/6)) *
IF(ISNUMBER(SEARCH("Fusion",$L202)), _xlfn.IFS(X$24-$I202 &lt;=1, 9/10, X$24-$I202 &lt;=10,(11-(X$24-$I202))/10, X$24-$I202 &gt;=11, 0),
_xlfn.IFS(X$24-$I202 &lt;=1, 5/6, X$24-$I202 &lt;=5, (7-(X$24-$I202))/6, AND(X$24-$I202 =6,NOT(_xlfn.IFNA(ISNUMBER(SEARCH("Rending",$L202)),FALSE))), (7-(X$24-$I202))/6, AND(X$24-$I202 &gt;=7,NOT(_xlfn.IFNA(ISNUMBER(SEARCH("Rending",$L202)),FALSE))), 0, X$24-$I202 =7, (7-(X$24-1-$I202))/6, X$24-$I202 =8, (7-(X$24-2-$I202))/6*2/3, X$24-$I202 =9, (7-(X$24-3-$I202))/6*1/3, TRUE, 0)) *
IF(ISNUMBER(SEARCH("Ordinance",$L202)),7/6,1) *
IF(OR(ISNUMBER(SEARCH("Melee",$L202)),ISNUMBER(SEARCH("Bypass",$L202))),1.5,1)</f>
        <v>1.1111111111111112</v>
      </c>
      <c r="Y202" s="17" cm="1">
        <f t="array" ref="Y202">$H202 *
IF(ISNUMBER(SEARCH("Rapid",$L202)),7/6,1) *
IF(OR(ISNUMBER(SEARCH("Beam",$L202)),ISNUMBER(SEARCH("Firestorm",$L202))),1, IF(ISNUMBER(SEARCH("Blast",$L202)),(4+$F202+(2-$F202)*0.5)/6*2,(4+$F202)/6)) *
IF(ISNUMBER(SEARCH("Fusion",$L202)), _xlfn.IFS(Y$24-$I202 &lt;=1, 9/10, Y$24-$I202 &lt;=10,(11-(Y$24-$I202))/10, Y$24-$I202 &gt;=11, 0),
_xlfn.IFS(Y$24-$I202 &lt;=1, 5/6, Y$24-$I202 &lt;=5, (7-(Y$24-$I202))/6, AND(Y$24-$I202 =6,NOT(_xlfn.IFNA(ISNUMBER(SEARCH("Rending",$L202)),FALSE))), (7-(Y$24-$I202))/6, AND(Y$24-$I202 &gt;=7,NOT(_xlfn.IFNA(ISNUMBER(SEARCH("Rending",$L202)),FALSE))), 0, Y$24-$I202 =7, (7-(Y$24-1-$I202))/6, Y$24-$I202 =8, (7-(Y$24-2-$I202))/6*2/3, Y$24-$I202 =9, (7-(Y$24-3-$I202))/6*1/3, TRUE, 0)) *
IF(ISNUMBER(SEARCH("Ordinance",$L202)),7/6,1) *
IF(OR(ISNUMBER(SEARCH("Melee",$L202)),ISNUMBER(SEARCH("Bypass",$L202))),1.5,1)</f>
        <v>1.1111111111111112</v>
      </c>
      <c r="Z202" s="17" cm="1">
        <f t="array" ref="Z202">$H202 *
IF(ISNUMBER(SEARCH("Rapid",$L202)),7/6,1) *
IF(OR(ISNUMBER(SEARCH("Beam",$L202)),ISNUMBER(SEARCH("Firestorm",$L202))),1, IF(ISNUMBER(SEARCH("Blast",$L202)),(4+$F202+(2-$F202)*0.5)/6*2,(4+$F202)/6)) *
IF(ISNUMBER(SEARCH("Fusion",$L202)), _xlfn.IFS(Z$24-$I202 &lt;=1, 9/10, Z$24-$I202 &lt;=10,(11-(Z$24-$I202))/10, Z$24-$I202 &gt;=11, 0),
_xlfn.IFS(Z$24-$I202 &lt;=1, 5/6, Z$24-$I202 &lt;=5, (7-(Z$24-$I202))/6, AND(Z$24-$I202 =6,NOT(_xlfn.IFNA(ISNUMBER(SEARCH("Rending",$L202)),FALSE))), (7-(Z$24-$I202))/6, AND(Z$24-$I202 &gt;=7,NOT(_xlfn.IFNA(ISNUMBER(SEARCH("Rending",$L202)),FALSE))), 0, Z$24-$I202 =7, (7-(Z$24-1-$I202))/6, Z$24-$I202 =8, (7-(Z$24-2-$I202))/6*2/3, Z$24-$I202 =9, (7-(Z$24-3-$I202))/6*1/3, TRUE, 0)) *
IF(ISNUMBER(SEARCH("Ordinance",$L202)),7/6,1) *
IF(OR(ISNUMBER(SEARCH("Melee",$L202)),ISNUMBER(SEARCH("Bypass",$L202))),1.5,1)</f>
        <v>0.88888888888888884</v>
      </c>
      <c r="AA202" s="17" cm="1">
        <f t="array" ref="AA202">$H202 *
IF(ISNUMBER(SEARCH("Rapid",$L202)),7/6,1) *
IF(OR(ISNUMBER(SEARCH("Beam",$L202)),ISNUMBER(SEARCH("Firestorm",$L202))),1, IF(ISNUMBER(SEARCH("Blast",$L202)),(4+$F202+(2-$F202)*0.5)/6*2,(4+$F202)/6)) *
IF(ISNUMBER(SEARCH("Fusion",$L202)), _xlfn.IFS(AA$24-$I202 &lt;=1, 9/10, AA$24-$I202 &lt;=10,(11-(AA$24-$I202))/10, AA$24-$I202 &gt;=11, 0),
_xlfn.IFS(AA$24-$I202 &lt;=1, 5/6, AA$24-$I202 &lt;=5, (7-(AA$24-$I202))/6, AND(AA$24-$I202 =6,NOT(_xlfn.IFNA(ISNUMBER(SEARCH("Rending",$L202)),FALSE))), (7-(AA$24-$I202))/6, AND(AA$24-$I202 &gt;=7,NOT(_xlfn.IFNA(ISNUMBER(SEARCH("Rending",$L202)),FALSE))), 0, AA$24-$I202 =7, (7-(AA$24-1-$I202))/6, AA$24-$I202 =8, (7-(AA$24-2-$I202))/6*2/3, AA$24-$I202 =9, (7-(AA$24-3-$I202))/6*1/3, TRUE, 0)) *
IF(ISNUMBER(SEARCH("Ordinance",$L202)),7/6,1) *
IF(OR(ISNUMBER(SEARCH("Melee",$L202)),ISNUMBER(SEARCH("Bypass",$L202))),1.5,1)</f>
        <v>0.66666666666666663</v>
      </c>
      <c r="AB202" s="17" cm="1">
        <f t="array" ref="AB202">$H202 *
IF(ISNUMBER(SEARCH("Rapid",$L202)),7/6,1) *
IF(OR(ISNUMBER(SEARCH("Beam",$L202)),ISNUMBER(SEARCH("Firestorm",$L202))),1, IF(ISNUMBER(SEARCH("Blast",$L202)),(4+$F202+(2-$F202)*0.5)/6*2,(4+$F202)/6)) *
IF(ISNUMBER(SEARCH("Fusion",$L202)), _xlfn.IFS(AB$24-$I202 &lt;=1, 9/10, AB$24-$I202 &lt;=10,(11-(AB$24-$I202))/10, AB$24-$I202 &gt;=11, 0),
_xlfn.IFS(AB$24-$I202 &lt;=1, 5/6, AB$24-$I202 &lt;=5, (7-(AB$24-$I202))/6, AND(AB$24-$I202 =6,NOT(_xlfn.IFNA(ISNUMBER(SEARCH("Rending",$L202)),FALSE))), (7-(AB$24-$I202))/6, AND(AB$24-$I202 &gt;=7,NOT(_xlfn.IFNA(ISNUMBER(SEARCH("Rending",$L202)),FALSE))), 0, AB$24-$I202 =7, (7-(AB$24-1-$I202))/6, AB$24-$I202 =8, (7-(AB$24-2-$I202))/6*2/3, AB$24-$I202 =9, (7-(AB$24-3-$I202))/6*1/3, TRUE, 0)) *
IF(ISNUMBER(SEARCH("Ordinance",$L202)),7/6,1) *
IF(OR(ISNUMBER(SEARCH("Melee",$L202)),ISNUMBER(SEARCH("Bypass",$L202))),1.5,1)</f>
        <v>0.44444444444444442</v>
      </c>
      <c r="AC202" s="17" cm="1">
        <f t="array" ref="AC202">$H202 *
IF(ISNUMBER(SEARCH("Rapid",$L202)),7/6,1) *
IF(OR(ISNUMBER(SEARCH("Beam",$L202)),ISNUMBER(SEARCH("Firestorm",$L202))),1, IF(ISNUMBER(SEARCH("Blast",$L202)),(4+$F202+(2-$F202)*0.5)/6*2,(4+$F202)/6)) *
IF(ISNUMBER(SEARCH("Fusion",$L202)), _xlfn.IFS(AC$24-$I202 &lt;=1, 9/10, AC$24-$I202 &lt;=10,(11-(AC$24-$I202))/10, AC$24-$I202 &gt;=11, 0),
_xlfn.IFS(AC$24-$I202 &lt;=1, 5/6, AC$24-$I202 &lt;=5, (7-(AC$24-$I202))/6, AND(AC$24-$I202 =6,NOT(_xlfn.IFNA(ISNUMBER(SEARCH("Rending",$L202)),FALSE))), (7-(AC$24-$I202))/6, AND(AC$24-$I202 &gt;=7,NOT(_xlfn.IFNA(ISNUMBER(SEARCH("Rending",$L202)),FALSE))), 0, AC$24-$I202 =7, (7-(AC$24-1-$I202))/6, AC$24-$I202 =8, (7-(AC$24-2-$I202))/6*2/3, AC$24-$I202 =9, (7-(AC$24-3-$I202))/6*1/3, TRUE, 0)) *
IF(ISNUMBER(SEARCH("Ordinance",$L202)),7/6,1) *
IF(OR(ISNUMBER(SEARCH("Melee",$L202)),ISNUMBER(SEARCH("Bypass",$L202))),1.5,1)</f>
        <v>0.22222222222222221</v>
      </c>
      <c r="AD202" s="17" cm="1">
        <f t="array" ref="AD202">$H202 *
IF(ISNUMBER(SEARCH("Rapid",$L202)),7/6,1) *
IF(OR(ISNUMBER(SEARCH("Beam",$L202)),ISNUMBER(SEARCH("Firestorm",$L202))),1, IF(ISNUMBER(SEARCH("Blast",$L202)),(4+$F202+(2-$F202)*0.5)/6*2,(4+$F202)/6)) *
IF(ISNUMBER(SEARCH("Fusion",$L202)), _xlfn.IFS(AD$24-$I202 &lt;=1, 9/10, AD$24-$I202 &lt;=10,(11-(AD$24-$I202))/10, AD$24-$I202 &gt;=11, 0),
_xlfn.IFS(AD$24-$I202 &lt;=1, 5/6, AD$24-$I202 &lt;=5, (7-(AD$24-$I202))/6, AND(AD$24-$I202 =6,NOT(_xlfn.IFNA(ISNUMBER(SEARCH("Rending",$L202)),FALSE))), (7-(AD$24-$I202))/6, AND(AD$24-$I202 &gt;=7,NOT(_xlfn.IFNA(ISNUMBER(SEARCH("Rending",$L202)),FALSE))), 0, AD$24-$I202 =7, (7-(AD$24-1-$I202))/6, AD$24-$I202 =8, (7-(AD$24-2-$I202))/6*2/3, AD$24-$I202 =9, (7-(AD$24-3-$I202))/6*1/3, TRUE, 0)) *
IF(ISNUMBER(SEARCH("Ordinance",$L202)),7/6,1) *
IF(OR(ISNUMBER(SEARCH("Melee",$L202)),ISNUMBER(SEARCH("Bypass",$L202))),1.5,1)</f>
        <v>0</v>
      </c>
      <c r="AE202" s="17" cm="1">
        <f t="array" ref="AE202">$H202 *
IF(ISNUMBER(SEARCH("Rapid",$L202)),7/6,1) *
IF(OR(ISNUMBER(SEARCH("Beam",$L202)),ISNUMBER(SEARCH("Firestorm",$L202))),1, IF(ISNUMBER(SEARCH("Blast",$L202)),(4+$F202+(2-$F202)*0.5)/6*2,(4+$F202)/6)) *
IF(ISNUMBER(SEARCH("Fusion",$L202)), _xlfn.IFS(AE$24-$I202 &lt;=1, 9/10, AE$24-$I202 &lt;=10,(11-(AE$24-$I202))/10, AE$24-$I202 &gt;=11, 0),
_xlfn.IFS(AE$24-$I202 &lt;=1, 5/6, AE$24-$I202 &lt;=5, (7-(AE$24-$I202))/6, AND(AE$24-$I202 =6,NOT(_xlfn.IFNA(ISNUMBER(SEARCH("Rending",$L202)),FALSE))), (7-(AE$24-$I202))/6, AND(AE$24-$I202 &gt;=7,NOT(_xlfn.IFNA(ISNUMBER(SEARCH("Rending",$L202)),FALSE))), 0, AE$24-$I202 =7, (7-(AE$24-1-$I202))/6, AE$24-$I202 =8, (7-(AE$24-2-$I202))/6*2/3, AE$24-$I202 =9, (7-(AE$24-3-$I202))/6*1/3, TRUE, 0)) *
IF(ISNUMBER(SEARCH("Ordinance",$L202)),7/6,1) *
IF(OR(ISNUMBER(SEARCH("Melee",$L202)),ISNUMBER(SEARCH("Bypass",$L202))),1.5,1)</f>
        <v>0</v>
      </c>
      <c r="AF202" s="17" cm="1">
        <f t="array" ref="AF202">$H202 *
IF(ISNUMBER(SEARCH("Rapid",$L202)),7/6,1) *
IF(OR(ISNUMBER(SEARCH("Beam",$L202)),ISNUMBER(SEARCH("Firestorm",$L202))),1, IF(ISNUMBER(SEARCH("Blast",$L202)),(4+$F202+(2-$F202)*0.5)/6*2,(4+$F202)/6)) *
IF(ISNUMBER(SEARCH("Fusion",$L202)), _xlfn.IFS(AF$24-$I202 &lt;=1, 9/10, AF$24-$I202 &lt;=10,(11-(AF$24-$I202))/10, AF$24-$I202 &gt;=11, 0),
_xlfn.IFS(AF$24-$I202 &lt;=1, 5/6, AF$24-$I202 &lt;=5, (7-(AF$24-$I202))/6, AND(AF$24-$I202 =6,NOT(_xlfn.IFNA(ISNUMBER(SEARCH("Rending",$L202)),FALSE))), (7-(AF$24-$I202))/6, AND(AF$24-$I202 &gt;=7,NOT(_xlfn.IFNA(ISNUMBER(SEARCH("Rending",$L202)),FALSE))), 0, AF$24-$I202 =7, (7-(AF$24-1-$I202))/6, AF$24-$I202 =8, (7-(AF$24-2-$I202))/6*2/3, AF$24-$I202 =9, (7-(AF$24-3-$I202))/6*1/3, TRUE, 0)) *
IF(ISNUMBER(SEARCH("Ordinance",$L202)),7/6,1) *
IF(OR(ISNUMBER(SEARCH("Melee",$L202)),ISNUMBER(SEARCH("Bypass",$L202))),1.5,1)</f>
        <v>0</v>
      </c>
      <c r="AG202" s="16">
        <f t="shared" si="53"/>
        <v>0.66666666666666663</v>
      </c>
      <c r="AH202" s="16">
        <f t="shared" si="54"/>
        <v>0.88888888888888884</v>
      </c>
      <c r="AI202" s="17" cm="1">
        <f t="array" ref="AI202">$H202 *
IF(ISNUMBER(SEARCH("Rapid",$L202)),7/6,1) *
IF(OR(ISNUMBER(SEARCH("Beam",$L202)),ISNUMBER(SEARCH("Firestorm",$L202))),1, IF(ISNUMBER(SEARCH("Blast",$L202)),(4+$G202+(2-$G202)*0.5)/6*2,(4+$G202)/6)) *
_xlfn.IFS(AI$24-$I202 &lt;=1, 5/6, AI$24-$I202 &lt;=5, (7-(AI$24-$I202))/6, AND(AI$24-$I202 =6,NOT(_xlfn.IFNA(ISNUMBER(SEARCH("Rending",$L202)),FALSE))), (7-(AI$24-$I202))/6, AND(AI$24-$I202 &gt;=7,NOT(_xlfn.IFNA(ISNUMBER(SEARCH("Rending",$L202)),FALSE))), 0, AI$24-$I202 =7, (7-(AI$24-1-$I202))/6, AI$24-$I202 =8, (7-(AI$24-2-$I202))/6*2/3, AI$24-$I202 =9, (7-(AI$24-3-$I202))/6*1/3, TRUE, 0) *
IF(ISNUMBER(SEARCH("Ordinance",$L202)),7/6,1) *
IF(OR(ISNUMBER(SEARCH("Melee",$L202)),ISNUMBER(SEARCH("Bypass",$L202))),1.5,1)</f>
        <v>1.1111111111111112</v>
      </c>
      <c r="AJ202" s="17" cm="1">
        <f t="array" ref="AJ202">$H202 *
IF(ISNUMBER(SEARCH("Rapid",$L202)),7/6,1) *
IF(OR(ISNUMBER(SEARCH("Beam",$L202)),ISNUMBER(SEARCH("Firestorm",$L202))),1, IF(ISNUMBER(SEARCH("Blast",$L202)),(4+$G202+(2-$G202)*0.5)/6*2,(4+$G202)/6)) *
_xlfn.IFS(AJ$24-$I202 &lt;=1, 5/6, AJ$24-$I202 &lt;=5, (7-(AJ$24-$I202))/6, AND(AJ$24-$I202 =6,NOT(_xlfn.IFNA(ISNUMBER(SEARCH("Rending",$L202)),FALSE))), (7-(AJ$24-$I202))/6, AND(AJ$24-$I202 &gt;=7,NOT(_xlfn.IFNA(ISNUMBER(SEARCH("Rending",$L202)),FALSE))), 0, AJ$24-$I202 =7, (7-(AJ$24-1-$I202))/6, AJ$24-$I202 =8, (7-(AJ$24-2-$I202))/6*2/3, AJ$24-$I202 =9, (7-(AJ$24-3-$I202))/6*1/3, TRUE, 0) *
IF(ISNUMBER(SEARCH("Ordinance",$L202)),7/6,1) *
IF(OR(ISNUMBER(SEARCH("Melee",$L202)),ISNUMBER(SEARCH("Bypass",$L202))),1.5,1)</f>
        <v>1.1111111111111112</v>
      </c>
      <c r="AK202" s="17" cm="1">
        <f t="array" ref="AK202">$H202 *
IF(ISNUMBER(SEARCH("Rapid",$L202)),7/6,1) *
IF(OR(ISNUMBER(SEARCH("Beam",$L202)),ISNUMBER(SEARCH("Firestorm",$L202))),1, IF(ISNUMBER(SEARCH("Blast",$L202)),(4+$G202+(2-$G202)*0.5)/6*2,(4+$G202)/6)) *
_xlfn.IFS(AK$24-$I202 &lt;=1, 5/6, AK$24-$I202 &lt;=5, (7-(AK$24-$I202))/6, AND(AK$24-$I202 =6,NOT(_xlfn.IFNA(ISNUMBER(SEARCH("Rending",$L202)),FALSE))), (7-(AK$24-$I202))/6, AND(AK$24-$I202 &gt;=7,NOT(_xlfn.IFNA(ISNUMBER(SEARCH("Rending",$L202)),FALSE))), 0, AK$24-$I202 =7, (7-(AK$24-1-$I202))/6, AK$24-$I202 =8, (7-(AK$24-2-$I202))/6*2/3, AK$24-$I202 =9, (7-(AK$24-3-$I202))/6*1/3, TRUE, 0) *
IF(ISNUMBER(SEARCH("Ordinance",$L202)),7/6,1) *
IF(OR(ISNUMBER(SEARCH("Melee",$L202)),ISNUMBER(SEARCH("Bypass",$L202))),1.5,1)</f>
        <v>0.88888888888888884</v>
      </c>
      <c r="AL202" s="17" cm="1">
        <f t="array" ref="AL202">$H202 *
IF(ISNUMBER(SEARCH("Rapid",$L202)),7/6,1) *
IF(OR(ISNUMBER(SEARCH("Beam",$L202)),ISNUMBER(SEARCH("Firestorm",$L202))),1, IF(ISNUMBER(SEARCH("Blast",$L202)),(4+$G202+(2-$G202)*0.5)/6*2,(4+$G202)/6)) *
_xlfn.IFS(AL$24-$I202 &lt;=1, 5/6, AL$24-$I202 &lt;=5, (7-(AL$24-$I202))/6, AND(AL$24-$I202 =6,NOT(_xlfn.IFNA(ISNUMBER(SEARCH("Rending",$L202)),FALSE))), (7-(AL$24-$I202))/6, AND(AL$24-$I202 &gt;=7,NOT(_xlfn.IFNA(ISNUMBER(SEARCH("Rending",$L202)),FALSE))), 0, AL$24-$I202 =7, (7-(AL$24-1-$I202))/6, AL$24-$I202 =8, (7-(AL$24-2-$I202))/6*2/3, AL$24-$I202 =9, (7-(AL$24-3-$I202))/6*1/3, TRUE, 0) *
IF(ISNUMBER(SEARCH("Ordinance",$L202)),7/6,1) *
IF(OR(ISNUMBER(SEARCH("Melee",$L202)),ISNUMBER(SEARCH("Bypass",$L202))),1.5,1)</f>
        <v>0.66666666666666663</v>
      </c>
      <c r="AM202" s="17" cm="1">
        <f t="array" ref="AM202">$H202 *
IF(ISNUMBER(SEARCH("Rapid",$L202)),7/6,1) *
IF(OR(ISNUMBER(SEARCH("Beam",$L202)),ISNUMBER(SEARCH("Firestorm",$L202))),1, IF(ISNUMBER(SEARCH("Blast",$L202)),(4+$G202+(2-$G202)*0.5)/6*2,(4+$G202)/6)) *
_xlfn.IFS(AM$24-$I202 &lt;=1, 5/6, AM$24-$I202 &lt;=5, (7-(AM$24-$I202))/6, AND(AM$24-$I202 =6,NOT(_xlfn.IFNA(ISNUMBER(SEARCH("Rending",$L202)),FALSE))), (7-(AM$24-$I202))/6, AND(AM$24-$I202 &gt;=7,NOT(_xlfn.IFNA(ISNUMBER(SEARCH("Rending",$L202)),FALSE))), 0, AM$24-$I202 =7, (7-(AM$24-1-$I202))/6, AM$24-$I202 =8, (7-(AM$24-2-$I202))/6*2/3, AM$24-$I202 =9, (7-(AM$24-3-$I202))/6*1/3, TRUE, 0) *
IF(ISNUMBER(SEARCH("Ordinance",$L202)),7/6,1) *
IF(OR(ISNUMBER(SEARCH("Melee",$L202)),ISNUMBER(SEARCH("Bypass",$L202))),1.5,1)</f>
        <v>0.44444444444444442</v>
      </c>
      <c r="AN202" s="17" cm="1">
        <f t="array" ref="AN202">$H202 *
IF(ISNUMBER(SEARCH("Rapid",$L202)),7/6,1) *
IF(OR(ISNUMBER(SEARCH("Beam",$L202)),ISNUMBER(SEARCH("Firestorm",$L202))),1, IF(ISNUMBER(SEARCH("Blast",$L202)),(4+$G202+(2-$G202)*0.5)/6*2,(4+$G202)/6)) *
_xlfn.IFS(AN$24-$I202 &lt;=1, 5/6, AN$24-$I202 &lt;=5, (7-(AN$24-$I202))/6, AND(AN$24-$I202 =6,NOT(_xlfn.IFNA(ISNUMBER(SEARCH("Rending",$L202)),FALSE))), (7-(AN$24-$I202))/6, AND(AN$24-$I202 &gt;=7,NOT(_xlfn.IFNA(ISNUMBER(SEARCH("Rending",$L202)),FALSE))), 0, AN$24-$I202 =7, (7-(AN$24-1-$I202))/6, AN$24-$I202 =8, (7-(AN$24-2-$I202))/6*2/3, AN$24-$I202 =9, (7-(AN$24-3-$I202))/6*1/3, TRUE, 0) *
IF(ISNUMBER(SEARCH("Ordinance",$L202)),7/6,1) *
IF(OR(ISNUMBER(SEARCH("Melee",$L202)),ISNUMBER(SEARCH("Bypass",$L202))),1.5,1)</f>
        <v>0.22222222222222221</v>
      </c>
      <c r="AO202" s="17" cm="1">
        <f t="array" ref="AO202">$H202 *
IF(ISNUMBER(SEARCH("Rapid",$L202)),7/6,1) *
IF(OR(ISNUMBER(SEARCH("Beam",$L202)),ISNUMBER(SEARCH("Firestorm",$L202))),1, IF(ISNUMBER(SEARCH("Blast",$L202)),(4+$G202+(2-$G202)*0.5)/6*2,(4+$G202)/6)) *
_xlfn.IFS(AO$24-$I202 &lt;=1, 5/6, AO$24-$I202 &lt;=5, (7-(AO$24-$I202))/6, AND(AO$24-$I202 =6,NOT(_xlfn.IFNA(ISNUMBER(SEARCH("Rending",$L202)),FALSE))), (7-(AO$24-$I202))/6, AND(AO$24-$I202 &gt;=7,NOT(_xlfn.IFNA(ISNUMBER(SEARCH("Rending",$L202)),FALSE))), 0, AO$24-$I202 =7, (7-(AO$24-1-$I202))/6, AO$24-$I202 =8, (7-(AO$24-2-$I202))/6*2/3, AO$24-$I202 =9, (7-(AO$24-3-$I202))/6*1/3, TRUE, 0) *
IF(ISNUMBER(SEARCH("Ordinance",$L202)),7/6,1) *
IF(OR(ISNUMBER(SEARCH("Melee",$L202)),ISNUMBER(SEARCH("Bypass",$L202))),1.5,1)</f>
        <v>0</v>
      </c>
      <c r="AP202" s="17" cm="1">
        <f t="array" ref="AP202">$H202 *
IF(ISNUMBER(SEARCH("Rapid",$L202)),7/6,1) *
IF(OR(ISNUMBER(SEARCH("Beam",$L202)),ISNUMBER(SEARCH("Firestorm",$L202))),1, IF(ISNUMBER(SEARCH("Blast",$L202)),(4+$G202+(2-$G202)*0.5)/6*2,(4+$G202)/6)) *
_xlfn.IFS(AP$24-$I202 &lt;=1, 5/6, AP$24-$I202 &lt;=5, (7-(AP$24-$I202))/6, AND(AP$24-$I202 =6,NOT(_xlfn.IFNA(ISNUMBER(SEARCH("Rending",$L202)),FALSE))), (7-(AP$24-$I202))/6, AND(AP$24-$I202 &gt;=7,NOT(_xlfn.IFNA(ISNUMBER(SEARCH("Rending",$L202)),FALSE))), 0, AP$24-$I202 =7, (7-(AP$24-1-$I202))/6, AP$24-$I202 =8, (7-(AP$24-2-$I202))/6*2/3, AP$24-$I202 =9, (7-(AP$24-3-$I202))/6*1/3, TRUE, 0) *
IF(ISNUMBER(SEARCH("Ordinance",$L202)),7/6,1) *
IF(OR(ISNUMBER(SEARCH("Melee",$L202)),ISNUMBER(SEARCH("Bypass",$L202))),1.5,1)</f>
        <v>0</v>
      </c>
      <c r="AQ202" s="17" cm="1">
        <f t="array" ref="AQ202">$H202 *
IF(ISNUMBER(SEARCH("Rapid",$L202)),7/6,1) *
IF(OR(ISNUMBER(SEARCH("Beam",$L202)),ISNUMBER(SEARCH("Firestorm",$L202))),1, IF(ISNUMBER(SEARCH("Blast",$L202)),(4+$G202+(2-$G202)*0.5)/6*2,(4+$G202)/6)) *
_xlfn.IFS(AQ$24-$I202 &lt;=1, 5/6, AQ$24-$I202 &lt;=5, (7-(AQ$24-$I202))/6, AND(AQ$24-$I202 =6,NOT(_xlfn.IFNA(ISNUMBER(SEARCH("Rending",$L202)),FALSE))), (7-(AQ$24-$I202))/6, AND(AQ$24-$I202 &gt;=7,NOT(_xlfn.IFNA(ISNUMBER(SEARCH("Rending",$L202)),FALSE))), 0, AQ$24-$I202 =7, (7-(AQ$24-1-$I202))/6, AQ$24-$I202 =8, (7-(AQ$24-2-$I202))/6*2/3, AQ$24-$I202 =9, (7-(AQ$24-3-$I202))/6*1/3, TRUE, 0) *
IF(ISNUMBER(SEARCH("Ordinance",$L202)),7/6,1) *
IF(OR(ISNUMBER(SEARCH("Melee",$L202)),ISNUMBER(SEARCH("Bypass",$L202))),1.5,1)</f>
        <v>0</v>
      </c>
      <c r="AS202" s="16">
        <f t="shared" si="55"/>
        <v>0.44444444444444442</v>
      </c>
      <c r="AT202" s="16">
        <f t="shared" si="55"/>
        <v>0.59259259259259256</v>
      </c>
      <c r="AU202" s="16">
        <f>IF(D202+E202=3,
 IF(E202=3, 2.5*AI202,
  IF(E202=2, 1.8*AI202+0.7*X202,
   IF(E202=1, 0.95*AI202+1.55*X202,
    2.5*X202))),
 IF(D202+E202=2,
  IF(E202=2, 1.55*AI202,
   IF(E202 =1, 0.85*AI202+0.7*X202,
    1.55*X202)),
  IF(E202=1, 0.95*AI202,
   0.7*X202))
)/3</f>
        <v>0.92592592592592593</v>
      </c>
      <c r="AV202" s="2">
        <v>10</v>
      </c>
    </row>
    <row r="203" spans="1:48" x14ac:dyDescent="0.3">
      <c r="A203" t="str">
        <f>'40K9_Stats'!O14</f>
        <v>Sonic Lance</v>
      </c>
      <c r="B203" s="3">
        <v>8</v>
      </c>
      <c r="C203" s="3">
        <v>12</v>
      </c>
      <c r="D203" s="3">
        <v>2</v>
      </c>
      <c r="F203" s="10">
        <v>0</v>
      </c>
      <c r="G203" s="10"/>
      <c r="H203" s="52">
        <v>1</v>
      </c>
      <c r="I203" s="3">
        <v>7</v>
      </c>
      <c r="J203" s="3" t="s">
        <v>597</v>
      </c>
      <c r="K203" s="3">
        <v>10</v>
      </c>
      <c r="L203" s="3" t="s">
        <v>760</v>
      </c>
      <c r="M203" s="3" t="s">
        <v>599</v>
      </c>
      <c r="N203" s="3">
        <v>9</v>
      </c>
      <c r="O203" s="3">
        <v>9</v>
      </c>
      <c r="P203" s="3">
        <v>13</v>
      </c>
      <c r="Q203" s="3" t="s">
        <v>200</v>
      </c>
      <c r="R203" s="3">
        <v>7</v>
      </c>
      <c r="S203" s="3">
        <v>9</v>
      </c>
      <c r="T203" s="3">
        <v>4</v>
      </c>
      <c r="V203" s="16">
        <f t="shared" si="51"/>
        <v>0</v>
      </c>
      <c r="W203" s="16">
        <f t="shared" si="52"/>
        <v>0</v>
      </c>
      <c r="X203" s="17" cm="1">
        <f t="array" ref="X203">$H203 *
IF(ISNUMBER(SEARCH("Rapid",$L203)),7/6,1) *
IF(OR(ISNUMBER(SEARCH("Beam",$L203)),ISNUMBER(SEARCH("Firestorm",$L203))),1, IF(ISNUMBER(SEARCH("Blast",$L203)),(4+$F203+(2-$F203)*0.5)/6*2,(4+$F203)/6)) *
IF(ISNUMBER(SEARCH("Fusion",$L203)), _xlfn.IFS(X$24-$I203 &lt;=1, 9/10, X$24-$I203 &lt;=10,(11-(X$24-$I203))/10, X$24-$I203 &gt;=11, 0),
_xlfn.IFS(X$24-$I203 &lt;=1, 5/6, X$24-$I203 &lt;=5, (7-(X$24-$I203))/6, AND(X$24-$I203 =6,NOT(_xlfn.IFNA(ISNUMBER(SEARCH("Rending",$L203)),FALSE))), (7-(X$24-$I203))/6, AND(X$24-$I203 &gt;=7,NOT(_xlfn.IFNA(ISNUMBER(SEARCH("Rending",$L203)),FALSE))), 0, X$24-$I203 =7, (7-(X$24-1-$I203))/6, X$24-$I203 =8, (7-(X$24-2-$I203))/6*2/3, X$24-$I203 =9, (7-(X$24-3-$I203))/6*1/3, TRUE, 0)) *
IF(ISNUMBER(SEARCH("Ordinance",$L203)),7/6,1) *
IF(OR(ISNUMBER(SEARCH("Melee",$L203)),ISNUMBER(SEARCH("Bypass",$L203))),1.5,1)</f>
        <v>1.25</v>
      </c>
      <c r="Y203" s="17" cm="1">
        <f t="array" ref="Y203">$H203 *
IF(ISNUMBER(SEARCH("Rapid",$L203)),7/6,1) *
IF(OR(ISNUMBER(SEARCH("Beam",$L203)),ISNUMBER(SEARCH("Firestorm",$L203))),1, IF(ISNUMBER(SEARCH("Blast",$L203)),(4+$F203+(2-$F203)*0.5)/6*2,(4+$F203)/6)) *
IF(ISNUMBER(SEARCH("Fusion",$L203)), _xlfn.IFS(Y$24-$I203 &lt;=1, 9/10, Y$24-$I203 &lt;=10,(11-(Y$24-$I203))/10, Y$24-$I203 &gt;=11, 0),
_xlfn.IFS(Y$24-$I203 &lt;=1, 5/6, Y$24-$I203 &lt;=5, (7-(Y$24-$I203))/6, AND(Y$24-$I203 =6,NOT(_xlfn.IFNA(ISNUMBER(SEARCH("Rending",$L203)),FALSE))), (7-(Y$24-$I203))/6, AND(Y$24-$I203 &gt;=7,NOT(_xlfn.IFNA(ISNUMBER(SEARCH("Rending",$L203)),FALSE))), 0, Y$24-$I203 =7, (7-(Y$24-1-$I203))/6, Y$24-$I203 =8, (7-(Y$24-2-$I203))/6*2/3, Y$24-$I203 =9, (7-(Y$24-3-$I203))/6*1/3, TRUE, 0)) *
IF(ISNUMBER(SEARCH("Ordinance",$L203)),7/6,1) *
IF(OR(ISNUMBER(SEARCH("Melee",$L203)),ISNUMBER(SEARCH("Bypass",$L203))),1.5,1)</f>
        <v>1</v>
      </c>
      <c r="Z203" s="17" cm="1">
        <f t="array" ref="Z203">$H203 *
IF(ISNUMBER(SEARCH("Rapid",$L203)),7/6,1) *
IF(OR(ISNUMBER(SEARCH("Beam",$L203)),ISNUMBER(SEARCH("Firestorm",$L203))),1, IF(ISNUMBER(SEARCH("Blast",$L203)),(4+$F203+(2-$F203)*0.5)/6*2,(4+$F203)/6)) *
IF(ISNUMBER(SEARCH("Fusion",$L203)), _xlfn.IFS(Z$24-$I203 &lt;=1, 9/10, Z$24-$I203 &lt;=10,(11-(Z$24-$I203))/10, Z$24-$I203 &gt;=11, 0),
_xlfn.IFS(Z$24-$I203 &lt;=1, 5/6, Z$24-$I203 &lt;=5, (7-(Z$24-$I203))/6, AND(Z$24-$I203 =6,NOT(_xlfn.IFNA(ISNUMBER(SEARCH("Rending",$L203)),FALSE))), (7-(Z$24-$I203))/6, AND(Z$24-$I203 &gt;=7,NOT(_xlfn.IFNA(ISNUMBER(SEARCH("Rending",$L203)),FALSE))), 0, Z$24-$I203 =7, (7-(Z$24-1-$I203))/6, Z$24-$I203 =8, (7-(Z$24-2-$I203))/6*2/3, Z$24-$I203 =9, (7-(Z$24-3-$I203))/6*1/3, TRUE, 0)) *
IF(ISNUMBER(SEARCH("Ordinance",$L203)),7/6,1) *
IF(OR(ISNUMBER(SEARCH("Melee",$L203)),ISNUMBER(SEARCH("Bypass",$L203))),1.5,1)</f>
        <v>0.75</v>
      </c>
      <c r="AA203" s="17" cm="1">
        <f t="array" ref="AA203">$H203 *
IF(ISNUMBER(SEARCH("Rapid",$L203)),7/6,1) *
IF(OR(ISNUMBER(SEARCH("Beam",$L203)),ISNUMBER(SEARCH("Firestorm",$L203))),1, IF(ISNUMBER(SEARCH("Blast",$L203)),(4+$F203+(2-$F203)*0.5)/6*2,(4+$F203)/6)) *
IF(ISNUMBER(SEARCH("Fusion",$L203)), _xlfn.IFS(AA$24-$I203 &lt;=1, 9/10, AA$24-$I203 &lt;=10,(11-(AA$24-$I203))/10, AA$24-$I203 &gt;=11, 0),
_xlfn.IFS(AA$24-$I203 &lt;=1, 5/6, AA$24-$I203 &lt;=5, (7-(AA$24-$I203))/6, AND(AA$24-$I203 =6,NOT(_xlfn.IFNA(ISNUMBER(SEARCH("Rending",$L203)),FALSE))), (7-(AA$24-$I203))/6, AND(AA$24-$I203 &gt;=7,NOT(_xlfn.IFNA(ISNUMBER(SEARCH("Rending",$L203)),FALSE))), 0, AA$24-$I203 =7, (7-(AA$24-1-$I203))/6, AA$24-$I203 =8, (7-(AA$24-2-$I203))/6*2/3, AA$24-$I203 =9, (7-(AA$24-3-$I203))/6*1/3, TRUE, 0)) *
IF(ISNUMBER(SEARCH("Ordinance",$L203)),7/6,1) *
IF(OR(ISNUMBER(SEARCH("Melee",$L203)),ISNUMBER(SEARCH("Bypass",$L203))),1.5,1)</f>
        <v>0.5</v>
      </c>
      <c r="AB203" s="17" cm="1">
        <f t="array" ref="AB203">$H203 *
IF(ISNUMBER(SEARCH("Rapid",$L203)),7/6,1) *
IF(OR(ISNUMBER(SEARCH("Beam",$L203)),ISNUMBER(SEARCH("Firestorm",$L203))),1, IF(ISNUMBER(SEARCH("Blast",$L203)),(4+$F203+(2-$F203)*0.5)/6*2,(4+$F203)/6)) *
IF(ISNUMBER(SEARCH("Fusion",$L203)), _xlfn.IFS(AB$24-$I203 &lt;=1, 9/10, AB$24-$I203 &lt;=10,(11-(AB$24-$I203))/10, AB$24-$I203 &gt;=11, 0),
_xlfn.IFS(AB$24-$I203 &lt;=1, 5/6, AB$24-$I203 &lt;=5, (7-(AB$24-$I203))/6, AND(AB$24-$I203 =6,NOT(_xlfn.IFNA(ISNUMBER(SEARCH("Rending",$L203)),FALSE))), (7-(AB$24-$I203))/6, AND(AB$24-$I203 &gt;=7,NOT(_xlfn.IFNA(ISNUMBER(SEARCH("Rending",$L203)),FALSE))), 0, AB$24-$I203 =7, (7-(AB$24-1-$I203))/6, AB$24-$I203 =8, (7-(AB$24-2-$I203))/6*2/3, AB$24-$I203 =9, (7-(AB$24-3-$I203))/6*1/3, TRUE, 0)) *
IF(ISNUMBER(SEARCH("Ordinance",$L203)),7/6,1) *
IF(OR(ISNUMBER(SEARCH("Melee",$L203)),ISNUMBER(SEARCH("Bypass",$L203))),1.5,1)</f>
        <v>0.25</v>
      </c>
      <c r="AC203" s="17" cm="1">
        <f t="array" ref="AC203">$H203 *
IF(ISNUMBER(SEARCH("Rapid",$L203)),7/6,1) *
IF(OR(ISNUMBER(SEARCH("Beam",$L203)),ISNUMBER(SEARCH("Firestorm",$L203))),1, IF(ISNUMBER(SEARCH("Blast",$L203)),(4+$F203+(2-$F203)*0.5)/6*2,(4+$F203)/6)) *
IF(ISNUMBER(SEARCH("Fusion",$L203)), _xlfn.IFS(AC$24-$I203 &lt;=1, 9/10, AC$24-$I203 &lt;=10,(11-(AC$24-$I203))/10, AC$24-$I203 &gt;=11, 0),
_xlfn.IFS(AC$24-$I203 &lt;=1, 5/6, AC$24-$I203 &lt;=5, (7-(AC$24-$I203))/6, AND(AC$24-$I203 =6,NOT(_xlfn.IFNA(ISNUMBER(SEARCH("Rending",$L203)),FALSE))), (7-(AC$24-$I203))/6, AND(AC$24-$I203 &gt;=7,NOT(_xlfn.IFNA(ISNUMBER(SEARCH("Rending",$L203)),FALSE))), 0, AC$24-$I203 =7, (7-(AC$24-1-$I203))/6, AC$24-$I203 =8, (7-(AC$24-2-$I203))/6*2/3, AC$24-$I203 =9, (7-(AC$24-3-$I203))/6*1/3, TRUE, 0)) *
IF(ISNUMBER(SEARCH("Ordinance",$L203)),7/6,1) *
IF(OR(ISNUMBER(SEARCH("Melee",$L203)),ISNUMBER(SEARCH("Bypass",$L203))),1.5,1)</f>
        <v>0</v>
      </c>
      <c r="AD203" s="17" cm="1">
        <f t="array" ref="AD203">$H203 *
IF(ISNUMBER(SEARCH("Rapid",$L203)),7/6,1) *
IF(OR(ISNUMBER(SEARCH("Beam",$L203)),ISNUMBER(SEARCH("Firestorm",$L203))),1, IF(ISNUMBER(SEARCH("Blast",$L203)),(4+$F203+(2-$F203)*0.5)/6*2,(4+$F203)/6)) *
IF(ISNUMBER(SEARCH("Fusion",$L203)), _xlfn.IFS(AD$24-$I203 &lt;=1, 9/10, AD$24-$I203 &lt;=10,(11-(AD$24-$I203))/10, AD$24-$I203 &gt;=11, 0),
_xlfn.IFS(AD$24-$I203 &lt;=1, 5/6, AD$24-$I203 &lt;=5, (7-(AD$24-$I203))/6, AND(AD$24-$I203 =6,NOT(_xlfn.IFNA(ISNUMBER(SEARCH("Rending",$L203)),FALSE))), (7-(AD$24-$I203))/6, AND(AD$24-$I203 &gt;=7,NOT(_xlfn.IFNA(ISNUMBER(SEARCH("Rending",$L203)),FALSE))), 0, AD$24-$I203 =7, (7-(AD$24-1-$I203))/6, AD$24-$I203 =8, (7-(AD$24-2-$I203))/6*2/3, AD$24-$I203 =9, (7-(AD$24-3-$I203))/6*1/3, TRUE, 0)) *
IF(ISNUMBER(SEARCH("Ordinance",$L203)),7/6,1) *
IF(OR(ISNUMBER(SEARCH("Melee",$L203)),ISNUMBER(SEARCH("Bypass",$L203))),1.5,1)</f>
        <v>0</v>
      </c>
      <c r="AE203" s="17" cm="1">
        <f t="array" ref="AE203">$H203 *
IF(ISNUMBER(SEARCH("Rapid",$L203)),7/6,1) *
IF(OR(ISNUMBER(SEARCH("Beam",$L203)),ISNUMBER(SEARCH("Firestorm",$L203))),1, IF(ISNUMBER(SEARCH("Blast",$L203)),(4+$F203+(2-$F203)*0.5)/6*2,(4+$F203)/6)) *
IF(ISNUMBER(SEARCH("Fusion",$L203)), _xlfn.IFS(AE$24-$I203 &lt;=1, 9/10, AE$24-$I203 &lt;=10,(11-(AE$24-$I203))/10, AE$24-$I203 &gt;=11, 0),
_xlfn.IFS(AE$24-$I203 &lt;=1, 5/6, AE$24-$I203 &lt;=5, (7-(AE$24-$I203))/6, AND(AE$24-$I203 =6,NOT(_xlfn.IFNA(ISNUMBER(SEARCH("Rending",$L203)),FALSE))), (7-(AE$24-$I203))/6, AND(AE$24-$I203 &gt;=7,NOT(_xlfn.IFNA(ISNUMBER(SEARCH("Rending",$L203)),FALSE))), 0, AE$24-$I203 =7, (7-(AE$24-1-$I203))/6, AE$24-$I203 =8, (7-(AE$24-2-$I203))/6*2/3, AE$24-$I203 =9, (7-(AE$24-3-$I203))/6*1/3, TRUE, 0)) *
IF(ISNUMBER(SEARCH("Ordinance",$L203)),7/6,1) *
IF(OR(ISNUMBER(SEARCH("Melee",$L203)),ISNUMBER(SEARCH("Bypass",$L203))),1.5,1)</f>
        <v>0</v>
      </c>
      <c r="AF203" s="17" cm="1">
        <f t="array" ref="AF203">$H203 *
IF(ISNUMBER(SEARCH("Rapid",$L203)),7/6,1) *
IF(OR(ISNUMBER(SEARCH("Beam",$L203)),ISNUMBER(SEARCH("Firestorm",$L203))),1, IF(ISNUMBER(SEARCH("Blast",$L203)),(4+$F203+(2-$F203)*0.5)/6*2,(4+$F203)/6)) *
IF(ISNUMBER(SEARCH("Fusion",$L203)), _xlfn.IFS(AF$24-$I203 &lt;=1, 9/10, AF$24-$I203 &lt;=10,(11-(AF$24-$I203))/10, AF$24-$I203 &gt;=11, 0),
_xlfn.IFS(AF$24-$I203 &lt;=1, 5/6, AF$24-$I203 &lt;=5, (7-(AF$24-$I203))/6, AND(AF$24-$I203 =6,NOT(_xlfn.IFNA(ISNUMBER(SEARCH("Rending",$L203)),FALSE))), (7-(AF$24-$I203))/6, AND(AF$24-$I203 &gt;=7,NOT(_xlfn.IFNA(ISNUMBER(SEARCH("Rending",$L203)),FALSE))), 0, AF$24-$I203 =7, (7-(AF$24-1-$I203))/6, AF$24-$I203 =8, (7-(AF$24-2-$I203))/6*2/3, AF$24-$I203 =9, (7-(AF$24-3-$I203))/6*1/3, TRUE, 0)) *
IF(ISNUMBER(SEARCH("Ordinance",$L203)),7/6,1) *
IF(OR(ISNUMBER(SEARCH("Melee",$L203)),ISNUMBER(SEARCH("Bypass",$L203))),1.5,1)</f>
        <v>0</v>
      </c>
      <c r="AG203" s="16">
        <f t="shared" si="53"/>
        <v>0</v>
      </c>
      <c r="AH203" s="16">
        <f t="shared" si="54"/>
        <v>0</v>
      </c>
      <c r="AI203" s="17" cm="1">
        <f t="array" ref="AI203">$H203 *
IF(ISNUMBER(SEARCH("Rapid",$L203)),7/6,1) *
IF(OR(ISNUMBER(SEARCH("Beam",$L203)),ISNUMBER(SEARCH("Firestorm",$L203))),1, IF(ISNUMBER(SEARCH("Blast",$L203)),(4+$G203+(2-$G203)*0.5)/6*2,(4+$G203)/6)) *
_xlfn.IFS(AI$24-$I203 &lt;=1, 5/6, AI$24-$I203 &lt;=5, (7-(AI$24-$I203))/6, AND(AI$24-$I203 =6,NOT(_xlfn.IFNA(ISNUMBER(SEARCH("Rending",$L203)),FALSE))), (7-(AI$24-$I203))/6, AND(AI$24-$I203 &gt;=7,NOT(_xlfn.IFNA(ISNUMBER(SEARCH("Rending",$L203)),FALSE))), 0, AI$24-$I203 =7, (7-(AI$24-1-$I203))/6, AI$24-$I203 =8, (7-(AI$24-2-$I203))/6*2/3, AI$24-$I203 =9, (7-(AI$24-3-$I203))/6*1/3, TRUE, 0) *
IF(ISNUMBER(SEARCH("Ordinance",$L203)),7/6,1) *
IF(OR(ISNUMBER(SEARCH("Melee",$L203)),ISNUMBER(SEARCH("Bypass",$L203))),1.5,1)</f>
        <v>1.25</v>
      </c>
      <c r="AJ203" s="17" cm="1">
        <f t="array" ref="AJ203">$H203 *
IF(ISNUMBER(SEARCH("Rapid",$L203)),7/6,1) *
IF(OR(ISNUMBER(SEARCH("Beam",$L203)),ISNUMBER(SEARCH("Firestorm",$L203))),1, IF(ISNUMBER(SEARCH("Blast",$L203)),(4+$G203+(2-$G203)*0.5)/6*2,(4+$G203)/6)) *
_xlfn.IFS(AJ$24-$I203 &lt;=1, 5/6, AJ$24-$I203 &lt;=5, (7-(AJ$24-$I203))/6, AND(AJ$24-$I203 =6,NOT(_xlfn.IFNA(ISNUMBER(SEARCH("Rending",$L203)),FALSE))), (7-(AJ$24-$I203))/6, AND(AJ$24-$I203 &gt;=7,NOT(_xlfn.IFNA(ISNUMBER(SEARCH("Rending",$L203)),FALSE))), 0, AJ$24-$I203 =7, (7-(AJ$24-1-$I203))/6, AJ$24-$I203 =8, (7-(AJ$24-2-$I203))/6*2/3, AJ$24-$I203 =9, (7-(AJ$24-3-$I203))/6*1/3, TRUE, 0) *
IF(ISNUMBER(SEARCH("Ordinance",$L203)),7/6,1) *
IF(OR(ISNUMBER(SEARCH("Melee",$L203)),ISNUMBER(SEARCH("Bypass",$L203))),1.5,1)</f>
        <v>1</v>
      </c>
      <c r="AK203" s="17" cm="1">
        <f t="array" ref="AK203">$H203 *
IF(ISNUMBER(SEARCH("Rapid",$L203)),7/6,1) *
IF(OR(ISNUMBER(SEARCH("Beam",$L203)),ISNUMBER(SEARCH("Firestorm",$L203))),1, IF(ISNUMBER(SEARCH("Blast",$L203)),(4+$G203+(2-$G203)*0.5)/6*2,(4+$G203)/6)) *
_xlfn.IFS(AK$24-$I203 &lt;=1, 5/6, AK$24-$I203 &lt;=5, (7-(AK$24-$I203))/6, AND(AK$24-$I203 =6,NOT(_xlfn.IFNA(ISNUMBER(SEARCH("Rending",$L203)),FALSE))), (7-(AK$24-$I203))/6, AND(AK$24-$I203 &gt;=7,NOT(_xlfn.IFNA(ISNUMBER(SEARCH("Rending",$L203)),FALSE))), 0, AK$24-$I203 =7, (7-(AK$24-1-$I203))/6, AK$24-$I203 =8, (7-(AK$24-2-$I203))/6*2/3, AK$24-$I203 =9, (7-(AK$24-3-$I203))/6*1/3, TRUE, 0) *
IF(ISNUMBER(SEARCH("Ordinance",$L203)),7/6,1) *
IF(OR(ISNUMBER(SEARCH("Melee",$L203)),ISNUMBER(SEARCH("Bypass",$L203))),1.5,1)</f>
        <v>0.75</v>
      </c>
      <c r="AL203" s="17" cm="1">
        <f t="array" ref="AL203">$H203 *
IF(ISNUMBER(SEARCH("Rapid",$L203)),7/6,1) *
IF(OR(ISNUMBER(SEARCH("Beam",$L203)),ISNUMBER(SEARCH("Firestorm",$L203))),1, IF(ISNUMBER(SEARCH("Blast",$L203)),(4+$G203+(2-$G203)*0.5)/6*2,(4+$G203)/6)) *
_xlfn.IFS(AL$24-$I203 &lt;=1, 5/6, AL$24-$I203 &lt;=5, (7-(AL$24-$I203))/6, AND(AL$24-$I203 =6,NOT(_xlfn.IFNA(ISNUMBER(SEARCH("Rending",$L203)),FALSE))), (7-(AL$24-$I203))/6, AND(AL$24-$I203 &gt;=7,NOT(_xlfn.IFNA(ISNUMBER(SEARCH("Rending",$L203)),FALSE))), 0, AL$24-$I203 =7, (7-(AL$24-1-$I203))/6, AL$24-$I203 =8, (7-(AL$24-2-$I203))/6*2/3, AL$24-$I203 =9, (7-(AL$24-3-$I203))/6*1/3, TRUE, 0) *
IF(ISNUMBER(SEARCH("Ordinance",$L203)),7/6,1) *
IF(OR(ISNUMBER(SEARCH("Melee",$L203)),ISNUMBER(SEARCH("Bypass",$L203))),1.5,1)</f>
        <v>0.5</v>
      </c>
      <c r="AM203" s="17" cm="1">
        <f t="array" ref="AM203">$H203 *
IF(ISNUMBER(SEARCH("Rapid",$L203)),7/6,1) *
IF(OR(ISNUMBER(SEARCH("Beam",$L203)),ISNUMBER(SEARCH("Firestorm",$L203))),1, IF(ISNUMBER(SEARCH("Blast",$L203)),(4+$G203+(2-$G203)*0.5)/6*2,(4+$G203)/6)) *
_xlfn.IFS(AM$24-$I203 &lt;=1, 5/6, AM$24-$I203 &lt;=5, (7-(AM$24-$I203))/6, AND(AM$24-$I203 =6,NOT(_xlfn.IFNA(ISNUMBER(SEARCH("Rending",$L203)),FALSE))), (7-(AM$24-$I203))/6, AND(AM$24-$I203 &gt;=7,NOT(_xlfn.IFNA(ISNUMBER(SEARCH("Rending",$L203)),FALSE))), 0, AM$24-$I203 =7, (7-(AM$24-1-$I203))/6, AM$24-$I203 =8, (7-(AM$24-2-$I203))/6*2/3, AM$24-$I203 =9, (7-(AM$24-3-$I203))/6*1/3, TRUE, 0) *
IF(ISNUMBER(SEARCH("Ordinance",$L203)),7/6,1) *
IF(OR(ISNUMBER(SEARCH("Melee",$L203)),ISNUMBER(SEARCH("Bypass",$L203))),1.5,1)</f>
        <v>0.25</v>
      </c>
      <c r="AN203" s="17" cm="1">
        <f t="array" ref="AN203">$H203 *
IF(ISNUMBER(SEARCH("Rapid",$L203)),7/6,1) *
IF(OR(ISNUMBER(SEARCH("Beam",$L203)),ISNUMBER(SEARCH("Firestorm",$L203))),1, IF(ISNUMBER(SEARCH("Blast",$L203)),(4+$G203+(2-$G203)*0.5)/6*2,(4+$G203)/6)) *
_xlfn.IFS(AN$24-$I203 &lt;=1, 5/6, AN$24-$I203 &lt;=5, (7-(AN$24-$I203))/6, AND(AN$24-$I203 =6,NOT(_xlfn.IFNA(ISNUMBER(SEARCH("Rending",$L203)),FALSE))), (7-(AN$24-$I203))/6, AND(AN$24-$I203 &gt;=7,NOT(_xlfn.IFNA(ISNUMBER(SEARCH("Rending",$L203)),FALSE))), 0, AN$24-$I203 =7, (7-(AN$24-1-$I203))/6, AN$24-$I203 =8, (7-(AN$24-2-$I203))/6*2/3, AN$24-$I203 =9, (7-(AN$24-3-$I203))/6*1/3, TRUE, 0) *
IF(ISNUMBER(SEARCH("Ordinance",$L203)),7/6,1) *
IF(OR(ISNUMBER(SEARCH("Melee",$L203)),ISNUMBER(SEARCH("Bypass",$L203))),1.5,1)</f>
        <v>0</v>
      </c>
      <c r="AO203" s="17" cm="1">
        <f t="array" ref="AO203">$H203 *
IF(ISNUMBER(SEARCH("Rapid",$L203)),7/6,1) *
IF(OR(ISNUMBER(SEARCH("Beam",$L203)),ISNUMBER(SEARCH("Firestorm",$L203))),1, IF(ISNUMBER(SEARCH("Blast",$L203)),(4+$G203+(2-$G203)*0.5)/6*2,(4+$G203)/6)) *
_xlfn.IFS(AO$24-$I203 &lt;=1, 5/6, AO$24-$I203 &lt;=5, (7-(AO$24-$I203))/6, AND(AO$24-$I203 =6,NOT(_xlfn.IFNA(ISNUMBER(SEARCH("Rending",$L203)),FALSE))), (7-(AO$24-$I203))/6, AND(AO$24-$I203 &gt;=7,NOT(_xlfn.IFNA(ISNUMBER(SEARCH("Rending",$L203)),FALSE))), 0, AO$24-$I203 =7, (7-(AO$24-1-$I203))/6, AO$24-$I203 =8, (7-(AO$24-2-$I203))/6*2/3, AO$24-$I203 =9, (7-(AO$24-3-$I203))/6*1/3, TRUE, 0) *
IF(ISNUMBER(SEARCH("Ordinance",$L203)),7/6,1) *
IF(OR(ISNUMBER(SEARCH("Melee",$L203)),ISNUMBER(SEARCH("Bypass",$L203))),1.5,1)</f>
        <v>0</v>
      </c>
      <c r="AP203" s="17" cm="1">
        <f t="array" ref="AP203">$H203 *
IF(ISNUMBER(SEARCH("Rapid",$L203)),7/6,1) *
IF(OR(ISNUMBER(SEARCH("Beam",$L203)),ISNUMBER(SEARCH("Firestorm",$L203))),1, IF(ISNUMBER(SEARCH("Blast",$L203)),(4+$G203+(2-$G203)*0.5)/6*2,(4+$G203)/6)) *
_xlfn.IFS(AP$24-$I203 &lt;=1, 5/6, AP$24-$I203 &lt;=5, (7-(AP$24-$I203))/6, AND(AP$24-$I203 =6,NOT(_xlfn.IFNA(ISNUMBER(SEARCH("Rending",$L203)),FALSE))), (7-(AP$24-$I203))/6, AND(AP$24-$I203 &gt;=7,NOT(_xlfn.IFNA(ISNUMBER(SEARCH("Rending",$L203)),FALSE))), 0, AP$24-$I203 =7, (7-(AP$24-1-$I203))/6, AP$24-$I203 =8, (7-(AP$24-2-$I203))/6*2/3, AP$24-$I203 =9, (7-(AP$24-3-$I203))/6*1/3, TRUE, 0) *
IF(ISNUMBER(SEARCH("Ordinance",$L203)),7/6,1) *
IF(OR(ISNUMBER(SEARCH("Melee",$L203)),ISNUMBER(SEARCH("Bypass",$L203))),1.5,1)</f>
        <v>0</v>
      </c>
      <c r="AQ203" s="17" cm="1">
        <f t="array" ref="AQ203">$H203 *
IF(ISNUMBER(SEARCH("Rapid",$L203)),7/6,1) *
IF(OR(ISNUMBER(SEARCH("Beam",$L203)),ISNUMBER(SEARCH("Firestorm",$L203))),1, IF(ISNUMBER(SEARCH("Blast",$L203)),(4+$G203+(2-$G203)*0.5)/6*2,(4+$G203)/6)) *
_xlfn.IFS(AQ$24-$I203 &lt;=1, 5/6, AQ$24-$I203 &lt;=5, (7-(AQ$24-$I203))/6, AND(AQ$24-$I203 =6,NOT(_xlfn.IFNA(ISNUMBER(SEARCH("Rending",$L203)),FALSE))), (7-(AQ$24-$I203))/6, AND(AQ$24-$I203 &gt;=7,NOT(_xlfn.IFNA(ISNUMBER(SEARCH("Rending",$L203)),FALSE))), 0, AQ$24-$I203 =7, (7-(AQ$24-1-$I203))/6, AQ$24-$I203 =8, (7-(AQ$24-2-$I203))/6*2/3, AQ$24-$I203 =9, (7-(AQ$24-3-$I203))/6*1/3, TRUE, 0) *
IF(ISNUMBER(SEARCH("Ordinance",$L203)),7/6,1) *
IF(OR(ISNUMBER(SEARCH("Melee",$L203)),ISNUMBER(SEARCH("Bypass",$L203))),1.5,1)</f>
        <v>0</v>
      </c>
      <c r="AS203" s="16">
        <f t="shared" si="55"/>
        <v>0</v>
      </c>
      <c r="AT203" s="16">
        <f t="shared" si="55"/>
        <v>0</v>
      </c>
      <c r="AU203" s="16">
        <f>IF(D203+E203=3,
 IF(E203=3, 2.5*AI203,
  IF(E203=2, 1.8*AI203+0.7*X203,
   IF(E203=1, 0.95*AI203+1.55*X203,
    2.5*X203))),
 IF(D203+E203=2,
  IF(E203=2, 1.55*AI203,
   IF(E203 =1, 0.85*AI203+0.7*X203,
    1.55*X203)),
  IF(E203=1, 0.95*AI203,
   0.7*X203))
)/3</f>
        <v>0.64583333333333337</v>
      </c>
      <c r="AV203" s="2">
        <v>9</v>
      </c>
    </row>
    <row r="204" spans="1:48" x14ac:dyDescent="0.3">
      <c r="A204" t="s">
        <v>881</v>
      </c>
      <c r="B204" s="3">
        <v>18</v>
      </c>
      <c r="C204" s="3">
        <v>30</v>
      </c>
      <c r="D204" s="3">
        <v>1</v>
      </c>
      <c r="E204" s="3">
        <v>2</v>
      </c>
      <c r="F204" s="10">
        <v>0</v>
      </c>
      <c r="G204" s="10"/>
      <c r="H204" s="3">
        <v>2</v>
      </c>
      <c r="I204" s="3">
        <v>10</v>
      </c>
      <c r="J204" s="3" t="s">
        <v>597</v>
      </c>
      <c r="K204" s="3">
        <v>25</v>
      </c>
      <c r="L204" s="3" t="s">
        <v>337</v>
      </c>
      <c r="M204" s="3" t="s">
        <v>599</v>
      </c>
      <c r="N204" s="3">
        <v>9</v>
      </c>
      <c r="O204" s="3">
        <v>9</v>
      </c>
      <c r="P204" s="3">
        <v>13</v>
      </c>
      <c r="Q204" s="3" t="s">
        <v>200</v>
      </c>
      <c r="R204" s="3">
        <v>7</v>
      </c>
      <c r="S204" s="3">
        <v>9</v>
      </c>
      <c r="T204" s="3">
        <v>4</v>
      </c>
      <c r="V204" s="16">
        <f t="shared" si="51"/>
        <v>0.66666666666666663</v>
      </c>
      <c r="W204" s="16">
        <f t="shared" si="52"/>
        <v>0.88888888888888884</v>
      </c>
      <c r="X204" s="17" cm="1">
        <f t="array" ref="X204">$H204 *
IF(ISNUMBER(SEARCH("Rapid",$L204)),7/6,1) *
IF(OR(ISNUMBER(SEARCH("Beam",$L204)),ISNUMBER(SEARCH("Firestorm",$L204))),1, IF(ISNUMBER(SEARCH("Blast",$L204)),(4+$F204+(2-$F204)*0.5)/6*2,(4+$F204)/6)) *
IF(ISNUMBER(SEARCH("Fusion",$L204)), _xlfn.IFS(X$24-$I204 &lt;=1, 9/10, X$24-$I204 &lt;=10,(11-(X$24-$I204))/10, X$24-$I204 &gt;=11, 0),
_xlfn.IFS(X$24-$I204 &lt;=1, 5/6, X$24-$I204 &lt;=5, (7-(X$24-$I204))/6, AND(X$24-$I204 =6,NOT(_xlfn.IFNA(ISNUMBER(SEARCH("Rending",$L204)),FALSE))), (7-(X$24-$I204))/6, AND(X$24-$I204 &gt;=7,NOT(_xlfn.IFNA(ISNUMBER(SEARCH("Rending",$L204)),FALSE))), 0, X$24-$I204 =7, (7-(X$24-1-$I204))/6, X$24-$I204 =8, (7-(X$24-2-$I204))/6*2/3, X$24-$I204 =9, (7-(X$24-3-$I204))/6*1/3, TRUE, 0)) *
IF(ISNUMBER(SEARCH("Ordinance",$L204)),7/6,1) *
IF(OR(ISNUMBER(SEARCH("Melee",$L204)),ISNUMBER(SEARCH("Bypass",$L204))),1.5,1)</f>
        <v>1.1111111111111112</v>
      </c>
      <c r="Y204" s="17" cm="1">
        <f t="array" ref="Y204">$H204 *
IF(ISNUMBER(SEARCH("Rapid",$L204)),7/6,1) *
IF(OR(ISNUMBER(SEARCH("Beam",$L204)),ISNUMBER(SEARCH("Firestorm",$L204))),1, IF(ISNUMBER(SEARCH("Blast",$L204)),(4+$F204+(2-$F204)*0.5)/6*2,(4+$F204)/6)) *
IF(ISNUMBER(SEARCH("Fusion",$L204)), _xlfn.IFS(Y$24-$I204 &lt;=1, 9/10, Y$24-$I204 &lt;=10,(11-(Y$24-$I204))/10, Y$24-$I204 &gt;=11, 0),
_xlfn.IFS(Y$24-$I204 &lt;=1, 5/6, Y$24-$I204 &lt;=5, (7-(Y$24-$I204))/6, AND(Y$24-$I204 =6,NOT(_xlfn.IFNA(ISNUMBER(SEARCH("Rending",$L204)),FALSE))), (7-(Y$24-$I204))/6, AND(Y$24-$I204 &gt;=7,NOT(_xlfn.IFNA(ISNUMBER(SEARCH("Rending",$L204)),FALSE))), 0, Y$24-$I204 =7, (7-(Y$24-1-$I204))/6, Y$24-$I204 =8, (7-(Y$24-2-$I204))/6*2/3, Y$24-$I204 =9, (7-(Y$24-3-$I204))/6*1/3, TRUE, 0)) *
IF(ISNUMBER(SEARCH("Ordinance",$L204)),7/6,1) *
IF(OR(ISNUMBER(SEARCH("Melee",$L204)),ISNUMBER(SEARCH("Bypass",$L204))),1.5,1)</f>
        <v>1.1111111111111112</v>
      </c>
      <c r="Z204" s="17" cm="1">
        <f t="array" ref="Z204">$H204 *
IF(ISNUMBER(SEARCH("Rapid",$L204)),7/6,1) *
IF(OR(ISNUMBER(SEARCH("Beam",$L204)),ISNUMBER(SEARCH("Firestorm",$L204))),1, IF(ISNUMBER(SEARCH("Blast",$L204)),(4+$F204+(2-$F204)*0.5)/6*2,(4+$F204)/6)) *
IF(ISNUMBER(SEARCH("Fusion",$L204)), _xlfn.IFS(Z$24-$I204 &lt;=1, 9/10, Z$24-$I204 &lt;=10,(11-(Z$24-$I204))/10, Z$24-$I204 &gt;=11, 0),
_xlfn.IFS(Z$24-$I204 &lt;=1, 5/6, Z$24-$I204 &lt;=5, (7-(Z$24-$I204))/6, AND(Z$24-$I204 =6,NOT(_xlfn.IFNA(ISNUMBER(SEARCH("Rending",$L204)),FALSE))), (7-(Z$24-$I204))/6, AND(Z$24-$I204 &gt;=7,NOT(_xlfn.IFNA(ISNUMBER(SEARCH("Rending",$L204)),FALSE))), 0, Z$24-$I204 =7, (7-(Z$24-1-$I204))/6, Z$24-$I204 =8, (7-(Z$24-2-$I204))/6*2/3, Z$24-$I204 =9, (7-(Z$24-3-$I204))/6*1/3, TRUE, 0)) *
IF(ISNUMBER(SEARCH("Ordinance",$L204)),7/6,1) *
IF(OR(ISNUMBER(SEARCH("Melee",$L204)),ISNUMBER(SEARCH("Bypass",$L204))),1.5,1)</f>
        <v>1.1111111111111112</v>
      </c>
      <c r="AA204" s="17" cm="1">
        <f t="array" ref="AA204">$H204 *
IF(ISNUMBER(SEARCH("Rapid",$L204)),7/6,1) *
IF(OR(ISNUMBER(SEARCH("Beam",$L204)),ISNUMBER(SEARCH("Firestorm",$L204))),1, IF(ISNUMBER(SEARCH("Blast",$L204)),(4+$F204+(2-$F204)*0.5)/6*2,(4+$F204)/6)) *
IF(ISNUMBER(SEARCH("Fusion",$L204)), _xlfn.IFS(AA$24-$I204 &lt;=1, 9/10, AA$24-$I204 &lt;=10,(11-(AA$24-$I204))/10, AA$24-$I204 &gt;=11, 0),
_xlfn.IFS(AA$24-$I204 &lt;=1, 5/6, AA$24-$I204 &lt;=5, (7-(AA$24-$I204))/6, AND(AA$24-$I204 =6,NOT(_xlfn.IFNA(ISNUMBER(SEARCH("Rending",$L204)),FALSE))), (7-(AA$24-$I204))/6, AND(AA$24-$I204 &gt;=7,NOT(_xlfn.IFNA(ISNUMBER(SEARCH("Rending",$L204)),FALSE))), 0, AA$24-$I204 =7, (7-(AA$24-1-$I204))/6, AA$24-$I204 =8, (7-(AA$24-2-$I204))/6*2/3, AA$24-$I204 =9, (7-(AA$24-3-$I204))/6*1/3, TRUE, 0)) *
IF(ISNUMBER(SEARCH("Ordinance",$L204)),7/6,1) *
IF(OR(ISNUMBER(SEARCH("Melee",$L204)),ISNUMBER(SEARCH("Bypass",$L204))),1.5,1)</f>
        <v>1.1111111111111112</v>
      </c>
      <c r="AB204" s="17" cm="1">
        <f t="array" ref="AB204">$H204 *
IF(ISNUMBER(SEARCH("Rapid",$L204)),7/6,1) *
IF(OR(ISNUMBER(SEARCH("Beam",$L204)),ISNUMBER(SEARCH("Firestorm",$L204))),1, IF(ISNUMBER(SEARCH("Blast",$L204)),(4+$F204+(2-$F204)*0.5)/6*2,(4+$F204)/6)) *
IF(ISNUMBER(SEARCH("Fusion",$L204)), _xlfn.IFS(AB$24-$I204 &lt;=1, 9/10, AB$24-$I204 &lt;=10,(11-(AB$24-$I204))/10, AB$24-$I204 &gt;=11, 0),
_xlfn.IFS(AB$24-$I204 &lt;=1, 5/6, AB$24-$I204 &lt;=5, (7-(AB$24-$I204))/6, AND(AB$24-$I204 =6,NOT(_xlfn.IFNA(ISNUMBER(SEARCH("Rending",$L204)),FALSE))), (7-(AB$24-$I204))/6, AND(AB$24-$I204 &gt;=7,NOT(_xlfn.IFNA(ISNUMBER(SEARCH("Rending",$L204)),FALSE))), 0, AB$24-$I204 =7, (7-(AB$24-1-$I204))/6, AB$24-$I204 =8, (7-(AB$24-2-$I204))/6*2/3, AB$24-$I204 =9, (7-(AB$24-3-$I204))/6*1/3, TRUE, 0)) *
IF(ISNUMBER(SEARCH("Ordinance",$L204)),7/6,1) *
IF(OR(ISNUMBER(SEARCH("Melee",$L204)),ISNUMBER(SEARCH("Bypass",$L204))),1.5,1)</f>
        <v>0.88888888888888884</v>
      </c>
      <c r="AC204" s="17" cm="1">
        <f t="array" ref="AC204">$H204 *
IF(ISNUMBER(SEARCH("Rapid",$L204)),7/6,1) *
IF(OR(ISNUMBER(SEARCH("Beam",$L204)),ISNUMBER(SEARCH("Firestorm",$L204))),1, IF(ISNUMBER(SEARCH("Blast",$L204)),(4+$F204+(2-$F204)*0.5)/6*2,(4+$F204)/6)) *
IF(ISNUMBER(SEARCH("Fusion",$L204)), _xlfn.IFS(AC$24-$I204 &lt;=1, 9/10, AC$24-$I204 &lt;=10,(11-(AC$24-$I204))/10, AC$24-$I204 &gt;=11, 0),
_xlfn.IFS(AC$24-$I204 &lt;=1, 5/6, AC$24-$I204 &lt;=5, (7-(AC$24-$I204))/6, AND(AC$24-$I204 =6,NOT(_xlfn.IFNA(ISNUMBER(SEARCH("Rending",$L204)),FALSE))), (7-(AC$24-$I204))/6, AND(AC$24-$I204 &gt;=7,NOT(_xlfn.IFNA(ISNUMBER(SEARCH("Rending",$L204)),FALSE))), 0, AC$24-$I204 =7, (7-(AC$24-1-$I204))/6, AC$24-$I204 =8, (7-(AC$24-2-$I204))/6*2/3, AC$24-$I204 =9, (7-(AC$24-3-$I204))/6*1/3, TRUE, 0)) *
IF(ISNUMBER(SEARCH("Ordinance",$L204)),7/6,1) *
IF(OR(ISNUMBER(SEARCH("Melee",$L204)),ISNUMBER(SEARCH("Bypass",$L204))),1.5,1)</f>
        <v>0.66666666666666663</v>
      </c>
      <c r="AD204" s="17" cm="1">
        <f t="array" ref="AD204">$H204 *
IF(ISNUMBER(SEARCH("Rapid",$L204)),7/6,1) *
IF(OR(ISNUMBER(SEARCH("Beam",$L204)),ISNUMBER(SEARCH("Firestorm",$L204))),1, IF(ISNUMBER(SEARCH("Blast",$L204)),(4+$F204+(2-$F204)*0.5)/6*2,(4+$F204)/6)) *
IF(ISNUMBER(SEARCH("Fusion",$L204)), _xlfn.IFS(AD$24-$I204 &lt;=1, 9/10, AD$24-$I204 &lt;=10,(11-(AD$24-$I204))/10, AD$24-$I204 &gt;=11, 0),
_xlfn.IFS(AD$24-$I204 &lt;=1, 5/6, AD$24-$I204 &lt;=5, (7-(AD$24-$I204))/6, AND(AD$24-$I204 =6,NOT(_xlfn.IFNA(ISNUMBER(SEARCH("Rending",$L204)),FALSE))), (7-(AD$24-$I204))/6, AND(AD$24-$I204 &gt;=7,NOT(_xlfn.IFNA(ISNUMBER(SEARCH("Rending",$L204)),FALSE))), 0, AD$24-$I204 =7, (7-(AD$24-1-$I204))/6, AD$24-$I204 =8, (7-(AD$24-2-$I204))/6*2/3, AD$24-$I204 =9, (7-(AD$24-3-$I204))/6*1/3, TRUE, 0)) *
IF(ISNUMBER(SEARCH("Ordinance",$L204)),7/6,1) *
IF(OR(ISNUMBER(SEARCH("Melee",$L204)),ISNUMBER(SEARCH("Bypass",$L204))),1.5,1)</f>
        <v>0.44444444444444442</v>
      </c>
      <c r="AE204" s="17" cm="1">
        <f t="array" ref="AE204">$H204 *
IF(ISNUMBER(SEARCH("Rapid",$L204)),7/6,1) *
IF(OR(ISNUMBER(SEARCH("Beam",$L204)),ISNUMBER(SEARCH("Firestorm",$L204))),1, IF(ISNUMBER(SEARCH("Blast",$L204)),(4+$F204+(2-$F204)*0.5)/6*2,(4+$F204)/6)) *
IF(ISNUMBER(SEARCH("Fusion",$L204)), _xlfn.IFS(AE$24-$I204 &lt;=1, 9/10, AE$24-$I204 &lt;=10,(11-(AE$24-$I204))/10, AE$24-$I204 &gt;=11, 0),
_xlfn.IFS(AE$24-$I204 &lt;=1, 5/6, AE$24-$I204 &lt;=5, (7-(AE$24-$I204))/6, AND(AE$24-$I204 =6,NOT(_xlfn.IFNA(ISNUMBER(SEARCH("Rending",$L204)),FALSE))), (7-(AE$24-$I204))/6, AND(AE$24-$I204 &gt;=7,NOT(_xlfn.IFNA(ISNUMBER(SEARCH("Rending",$L204)),FALSE))), 0, AE$24-$I204 =7, (7-(AE$24-1-$I204))/6, AE$24-$I204 =8, (7-(AE$24-2-$I204))/6*2/3, AE$24-$I204 =9, (7-(AE$24-3-$I204))/6*1/3, TRUE, 0)) *
IF(ISNUMBER(SEARCH("Ordinance",$L204)),7/6,1) *
IF(OR(ISNUMBER(SEARCH("Melee",$L204)),ISNUMBER(SEARCH("Bypass",$L204))),1.5,1)</f>
        <v>0.22222222222222221</v>
      </c>
      <c r="AF204" s="17" cm="1">
        <f t="array" ref="AF204">$H204 *
IF(ISNUMBER(SEARCH("Rapid",$L204)),7/6,1) *
IF(OR(ISNUMBER(SEARCH("Beam",$L204)),ISNUMBER(SEARCH("Firestorm",$L204))),1, IF(ISNUMBER(SEARCH("Blast",$L204)),(4+$F204+(2-$F204)*0.5)/6*2,(4+$F204)/6)) *
IF(ISNUMBER(SEARCH("Fusion",$L204)), _xlfn.IFS(AF$24-$I204 &lt;=1, 9/10, AF$24-$I204 &lt;=10,(11-(AF$24-$I204))/10, AF$24-$I204 &gt;=11, 0),
_xlfn.IFS(AF$24-$I204 &lt;=1, 5/6, AF$24-$I204 &lt;=5, (7-(AF$24-$I204))/6, AND(AF$24-$I204 =6,NOT(_xlfn.IFNA(ISNUMBER(SEARCH("Rending",$L204)),FALSE))), (7-(AF$24-$I204))/6, AND(AF$24-$I204 &gt;=7,NOT(_xlfn.IFNA(ISNUMBER(SEARCH("Rending",$L204)),FALSE))), 0, AF$24-$I204 =7, (7-(AF$24-1-$I204))/6, AF$24-$I204 =8, (7-(AF$24-2-$I204))/6*2/3, AF$24-$I204 =9, (7-(AF$24-3-$I204))/6*1/3, TRUE, 0)) *
IF(ISNUMBER(SEARCH("Ordinance",$L204)),7/6,1) *
IF(OR(ISNUMBER(SEARCH("Melee",$L204)),ISNUMBER(SEARCH("Bypass",$L204))),1.5,1)</f>
        <v>0</v>
      </c>
      <c r="AG204" s="16">
        <f t="shared" si="53"/>
        <v>0.66666666666666663</v>
      </c>
      <c r="AH204" s="16">
        <f t="shared" si="54"/>
        <v>0.88888888888888884</v>
      </c>
      <c r="AI204" s="17" cm="1">
        <f t="array" ref="AI204">$H204 *
IF(ISNUMBER(SEARCH("Rapid",$L204)),7/6,1) *
IF(OR(ISNUMBER(SEARCH("Beam",$L204)),ISNUMBER(SEARCH("Firestorm",$L204))),1, IF(ISNUMBER(SEARCH("Blast",$L204)),(4+$G204+(2-$G204)*0.5)/6*2,(4+$G204)/6)) *
_xlfn.IFS(AI$24-$I204 &lt;=1, 5/6, AI$24-$I204 &lt;=5, (7-(AI$24-$I204))/6, AND(AI$24-$I204 =6,NOT(_xlfn.IFNA(ISNUMBER(SEARCH("Rending",$L204)),FALSE))), (7-(AI$24-$I204))/6, AND(AI$24-$I204 &gt;=7,NOT(_xlfn.IFNA(ISNUMBER(SEARCH("Rending",$L204)),FALSE))), 0, AI$24-$I204 =7, (7-(AI$24-1-$I204))/6, AI$24-$I204 =8, (7-(AI$24-2-$I204))/6*2/3, AI$24-$I204 =9, (7-(AI$24-3-$I204))/6*1/3, TRUE, 0) *
IF(ISNUMBER(SEARCH("Ordinance",$L204)),7/6,1) *
IF(OR(ISNUMBER(SEARCH("Melee",$L204)),ISNUMBER(SEARCH("Bypass",$L204))),1.5,1)</f>
        <v>1.1111111111111112</v>
      </c>
      <c r="AJ204" s="17" cm="1">
        <f t="array" ref="AJ204">$H204 *
IF(ISNUMBER(SEARCH("Rapid",$L204)),7/6,1) *
IF(OR(ISNUMBER(SEARCH("Beam",$L204)),ISNUMBER(SEARCH("Firestorm",$L204))),1, IF(ISNUMBER(SEARCH("Blast",$L204)),(4+$G204+(2-$G204)*0.5)/6*2,(4+$G204)/6)) *
_xlfn.IFS(AJ$24-$I204 &lt;=1, 5/6, AJ$24-$I204 &lt;=5, (7-(AJ$24-$I204))/6, AND(AJ$24-$I204 =6,NOT(_xlfn.IFNA(ISNUMBER(SEARCH("Rending",$L204)),FALSE))), (7-(AJ$24-$I204))/6, AND(AJ$24-$I204 &gt;=7,NOT(_xlfn.IFNA(ISNUMBER(SEARCH("Rending",$L204)),FALSE))), 0, AJ$24-$I204 =7, (7-(AJ$24-1-$I204))/6, AJ$24-$I204 =8, (7-(AJ$24-2-$I204))/6*2/3, AJ$24-$I204 =9, (7-(AJ$24-3-$I204))/6*1/3, TRUE, 0) *
IF(ISNUMBER(SEARCH("Ordinance",$L204)),7/6,1) *
IF(OR(ISNUMBER(SEARCH("Melee",$L204)),ISNUMBER(SEARCH("Bypass",$L204))),1.5,1)</f>
        <v>1.1111111111111112</v>
      </c>
      <c r="AK204" s="17" cm="1">
        <f t="array" ref="AK204">$H204 *
IF(ISNUMBER(SEARCH("Rapid",$L204)),7/6,1) *
IF(OR(ISNUMBER(SEARCH("Beam",$L204)),ISNUMBER(SEARCH("Firestorm",$L204))),1, IF(ISNUMBER(SEARCH("Blast",$L204)),(4+$G204+(2-$G204)*0.5)/6*2,(4+$G204)/6)) *
_xlfn.IFS(AK$24-$I204 &lt;=1, 5/6, AK$24-$I204 &lt;=5, (7-(AK$24-$I204))/6, AND(AK$24-$I204 =6,NOT(_xlfn.IFNA(ISNUMBER(SEARCH("Rending",$L204)),FALSE))), (7-(AK$24-$I204))/6, AND(AK$24-$I204 &gt;=7,NOT(_xlfn.IFNA(ISNUMBER(SEARCH("Rending",$L204)),FALSE))), 0, AK$24-$I204 =7, (7-(AK$24-1-$I204))/6, AK$24-$I204 =8, (7-(AK$24-2-$I204))/6*2/3, AK$24-$I204 =9, (7-(AK$24-3-$I204))/6*1/3, TRUE, 0) *
IF(ISNUMBER(SEARCH("Ordinance",$L204)),7/6,1) *
IF(OR(ISNUMBER(SEARCH("Melee",$L204)),ISNUMBER(SEARCH("Bypass",$L204))),1.5,1)</f>
        <v>1.1111111111111112</v>
      </c>
      <c r="AL204" s="17" cm="1">
        <f t="array" ref="AL204">$H204 *
IF(ISNUMBER(SEARCH("Rapid",$L204)),7/6,1) *
IF(OR(ISNUMBER(SEARCH("Beam",$L204)),ISNUMBER(SEARCH("Firestorm",$L204))),1, IF(ISNUMBER(SEARCH("Blast",$L204)),(4+$G204+(2-$G204)*0.5)/6*2,(4+$G204)/6)) *
_xlfn.IFS(AL$24-$I204 &lt;=1, 5/6, AL$24-$I204 &lt;=5, (7-(AL$24-$I204))/6, AND(AL$24-$I204 =6,NOT(_xlfn.IFNA(ISNUMBER(SEARCH("Rending",$L204)),FALSE))), (7-(AL$24-$I204))/6, AND(AL$24-$I204 &gt;=7,NOT(_xlfn.IFNA(ISNUMBER(SEARCH("Rending",$L204)),FALSE))), 0, AL$24-$I204 =7, (7-(AL$24-1-$I204))/6, AL$24-$I204 =8, (7-(AL$24-2-$I204))/6*2/3, AL$24-$I204 =9, (7-(AL$24-3-$I204))/6*1/3, TRUE, 0) *
IF(ISNUMBER(SEARCH("Ordinance",$L204)),7/6,1) *
IF(OR(ISNUMBER(SEARCH("Melee",$L204)),ISNUMBER(SEARCH("Bypass",$L204))),1.5,1)</f>
        <v>1.1111111111111112</v>
      </c>
      <c r="AM204" s="17" cm="1">
        <f t="array" ref="AM204">$H204 *
IF(ISNUMBER(SEARCH("Rapid",$L204)),7/6,1) *
IF(OR(ISNUMBER(SEARCH("Beam",$L204)),ISNUMBER(SEARCH("Firestorm",$L204))),1, IF(ISNUMBER(SEARCH("Blast",$L204)),(4+$G204+(2-$G204)*0.5)/6*2,(4+$G204)/6)) *
_xlfn.IFS(AM$24-$I204 &lt;=1, 5/6, AM$24-$I204 &lt;=5, (7-(AM$24-$I204))/6, AND(AM$24-$I204 =6,NOT(_xlfn.IFNA(ISNUMBER(SEARCH("Rending",$L204)),FALSE))), (7-(AM$24-$I204))/6, AND(AM$24-$I204 &gt;=7,NOT(_xlfn.IFNA(ISNUMBER(SEARCH("Rending",$L204)),FALSE))), 0, AM$24-$I204 =7, (7-(AM$24-1-$I204))/6, AM$24-$I204 =8, (7-(AM$24-2-$I204))/6*2/3, AM$24-$I204 =9, (7-(AM$24-3-$I204))/6*1/3, TRUE, 0) *
IF(ISNUMBER(SEARCH("Ordinance",$L204)),7/6,1) *
IF(OR(ISNUMBER(SEARCH("Melee",$L204)),ISNUMBER(SEARCH("Bypass",$L204))),1.5,1)</f>
        <v>0.88888888888888884</v>
      </c>
      <c r="AN204" s="17" cm="1">
        <f t="array" ref="AN204">$H204 *
IF(ISNUMBER(SEARCH("Rapid",$L204)),7/6,1) *
IF(OR(ISNUMBER(SEARCH("Beam",$L204)),ISNUMBER(SEARCH("Firestorm",$L204))),1, IF(ISNUMBER(SEARCH("Blast",$L204)),(4+$G204+(2-$G204)*0.5)/6*2,(4+$G204)/6)) *
_xlfn.IFS(AN$24-$I204 &lt;=1, 5/6, AN$24-$I204 &lt;=5, (7-(AN$24-$I204))/6, AND(AN$24-$I204 =6,NOT(_xlfn.IFNA(ISNUMBER(SEARCH("Rending",$L204)),FALSE))), (7-(AN$24-$I204))/6, AND(AN$24-$I204 &gt;=7,NOT(_xlfn.IFNA(ISNUMBER(SEARCH("Rending",$L204)),FALSE))), 0, AN$24-$I204 =7, (7-(AN$24-1-$I204))/6, AN$24-$I204 =8, (7-(AN$24-2-$I204))/6*2/3, AN$24-$I204 =9, (7-(AN$24-3-$I204))/6*1/3, TRUE, 0) *
IF(ISNUMBER(SEARCH("Ordinance",$L204)),7/6,1) *
IF(OR(ISNUMBER(SEARCH("Melee",$L204)),ISNUMBER(SEARCH("Bypass",$L204))),1.5,1)</f>
        <v>0.66666666666666663</v>
      </c>
      <c r="AO204" s="17" cm="1">
        <f t="array" ref="AO204">$H204 *
IF(ISNUMBER(SEARCH("Rapid",$L204)),7/6,1) *
IF(OR(ISNUMBER(SEARCH("Beam",$L204)),ISNUMBER(SEARCH("Firestorm",$L204))),1, IF(ISNUMBER(SEARCH("Blast",$L204)),(4+$G204+(2-$G204)*0.5)/6*2,(4+$G204)/6)) *
_xlfn.IFS(AO$24-$I204 &lt;=1, 5/6, AO$24-$I204 &lt;=5, (7-(AO$24-$I204))/6, AND(AO$24-$I204 =6,NOT(_xlfn.IFNA(ISNUMBER(SEARCH("Rending",$L204)),FALSE))), (7-(AO$24-$I204))/6, AND(AO$24-$I204 &gt;=7,NOT(_xlfn.IFNA(ISNUMBER(SEARCH("Rending",$L204)),FALSE))), 0, AO$24-$I204 =7, (7-(AO$24-1-$I204))/6, AO$24-$I204 =8, (7-(AO$24-2-$I204))/6*2/3, AO$24-$I204 =9, (7-(AO$24-3-$I204))/6*1/3, TRUE, 0) *
IF(ISNUMBER(SEARCH("Ordinance",$L204)),7/6,1) *
IF(OR(ISNUMBER(SEARCH("Melee",$L204)),ISNUMBER(SEARCH("Bypass",$L204))),1.5,1)</f>
        <v>0.44444444444444442</v>
      </c>
      <c r="AP204" s="17" cm="1">
        <f t="array" ref="AP204">$H204 *
IF(ISNUMBER(SEARCH("Rapid",$L204)),7/6,1) *
IF(OR(ISNUMBER(SEARCH("Beam",$L204)),ISNUMBER(SEARCH("Firestorm",$L204))),1, IF(ISNUMBER(SEARCH("Blast",$L204)),(4+$G204+(2-$G204)*0.5)/6*2,(4+$G204)/6)) *
_xlfn.IFS(AP$24-$I204 &lt;=1, 5/6, AP$24-$I204 &lt;=5, (7-(AP$24-$I204))/6, AND(AP$24-$I204 =6,NOT(_xlfn.IFNA(ISNUMBER(SEARCH("Rending",$L204)),FALSE))), (7-(AP$24-$I204))/6, AND(AP$24-$I204 &gt;=7,NOT(_xlfn.IFNA(ISNUMBER(SEARCH("Rending",$L204)),FALSE))), 0, AP$24-$I204 =7, (7-(AP$24-1-$I204))/6, AP$24-$I204 =8, (7-(AP$24-2-$I204))/6*2/3, AP$24-$I204 =9, (7-(AP$24-3-$I204))/6*1/3, TRUE, 0) *
IF(ISNUMBER(SEARCH("Ordinance",$L204)),7/6,1) *
IF(OR(ISNUMBER(SEARCH("Melee",$L204)),ISNUMBER(SEARCH("Bypass",$L204))),1.5,1)</f>
        <v>0.22222222222222221</v>
      </c>
      <c r="AQ204" s="17" cm="1">
        <f t="array" ref="AQ204">$H204 *
IF(ISNUMBER(SEARCH("Rapid",$L204)),7/6,1) *
IF(OR(ISNUMBER(SEARCH("Beam",$L204)),ISNUMBER(SEARCH("Firestorm",$L204))),1, IF(ISNUMBER(SEARCH("Blast",$L204)),(4+$G204+(2-$G204)*0.5)/6*2,(4+$G204)/6)) *
_xlfn.IFS(AQ$24-$I204 &lt;=1, 5/6, AQ$24-$I204 &lt;=5, (7-(AQ$24-$I204))/6, AND(AQ$24-$I204 =6,NOT(_xlfn.IFNA(ISNUMBER(SEARCH("Rending",$L204)),FALSE))), (7-(AQ$24-$I204))/6, AND(AQ$24-$I204 &gt;=7,NOT(_xlfn.IFNA(ISNUMBER(SEARCH("Rending",$L204)),FALSE))), 0, AQ$24-$I204 =7, (7-(AQ$24-1-$I204))/6, AQ$24-$I204 =8, (7-(AQ$24-2-$I204))/6*2/3, AQ$24-$I204 =9, (7-(AQ$24-3-$I204))/6*1/3, TRUE, 0) *
IF(ISNUMBER(SEARCH("Ordinance",$L204)),7/6,1) *
IF(OR(ISNUMBER(SEARCH("Melee",$L204)),ISNUMBER(SEARCH("Bypass",$L204))),1.5,1)</f>
        <v>0</v>
      </c>
      <c r="AS204" s="16">
        <f t="shared" ref="AS204:AS205" si="56">IF($E204=1,AG204*3,IF($E204=2,2*AG204,1.1*AG204))/3</f>
        <v>0.44444444444444442</v>
      </c>
      <c r="AT204" s="16">
        <f t="shared" ref="AT204:AT205" si="57">IF($E204=1,AH204*3,IF($E204=2,2*AH204,1.1*AH204))/3</f>
        <v>0.59259259259259256</v>
      </c>
      <c r="AU204" s="16">
        <f>IF(D204+E204=3,
 IF(E204=3, 2.5*AI204,
  IF(E204=2, 1.8*AI204+0.7*X204,
   IF(E204=1, 0.95*AI204+1.55*X204,
    2.5*X204))),
 IF(D204+E204=2,
  IF(E204=2, 1.55*AI204,
   IF(E204 =1, 0.85*AI204+0.7*X204,
    1.55*X204)),
  IF(E204=1, 0.95*AI204,
   0.7*X204))
)/3</f>
        <v>0.92592592592592593</v>
      </c>
      <c r="AV204" s="2">
        <v>10</v>
      </c>
    </row>
    <row r="205" spans="1:48" x14ac:dyDescent="0.3">
      <c r="A205" t="s">
        <v>882</v>
      </c>
      <c r="B205" s="3" t="s">
        <v>154</v>
      </c>
      <c r="C205" s="3" t="s">
        <v>154</v>
      </c>
      <c r="D205" s="3">
        <v>2</v>
      </c>
      <c r="F205" s="9">
        <v>2</v>
      </c>
      <c r="G205" s="9">
        <v>2</v>
      </c>
      <c r="H205" s="65">
        <v>2</v>
      </c>
      <c r="I205" s="3">
        <v>7</v>
      </c>
      <c r="J205" s="3" t="s">
        <v>597</v>
      </c>
      <c r="K205" s="3">
        <v>10</v>
      </c>
      <c r="L205" s="3" t="s">
        <v>883</v>
      </c>
      <c r="M205" s="3" t="s">
        <v>599</v>
      </c>
      <c r="N205" s="3">
        <v>9</v>
      </c>
      <c r="O205" s="3">
        <v>9</v>
      </c>
      <c r="P205" s="3">
        <v>13</v>
      </c>
      <c r="Q205" s="3" t="s">
        <v>200</v>
      </c>
      <c r="R205" s="3">
        <v>7</v>
      </c>
      <c r="S205" s="3">
        <v>9</v>
      </c>
      <c r="T205" s="3">
        <v>4</v>
      </c>
      <c r="V205" s="16">
        <f t="shared" si="51"/>
        <v>0</v>
      </c>
      <c r="W205" s="16">
        <f t="shared" si="52"/>
        <v>0</v>
      </c>
      <c r="X205" s="17" cm="1">
        <f t="array" ref="X205">$H205 *
IF(ISNUMBER(SEARCH("Rapid",$L205)),7/6,1) *
IF(OR(ISNUMBER(SEARCH("Beam",$L205)),ISNUMBER(SEARCH("Firestorm",$L205))),1, IF(ISNUMBER(SEARCH("Blast",$L205)),(4+$F205+(2-$F205)*0.5)/6*2,(4+$F205)/6)) *
IF(ISNUMBER(SEARCH("Fusion",$L205)), _xlfn.IFS(X$24-$I205 &lt;=1, 9/10, X$24-$I205 &lt;=10,(11-(X$24-$I205))/10, X$24-$I205 &gt;=11, 0),
_xlfn.IFS(X$24-$I205 &lt;=1, 5/6, X$24-$I205 &lt;=5, (7-(X$24-$I205))/6, AND(X$24-$I205 =6,NOT(_xlfn.IFNA(ISNUMBER(SEARCH("Rending",$L205)),FALSE))), (7-(X$24-$I205))/6, AND(X$24-$I205 &gt;=7,NOT(_xlfn.IFNA(ISNUMBER(SEARCH("Rending",$L205)),FALSE))), 0, X$24-$I205 =7, (7-(X$24-1-$I205))/6, X$24-$I205 =8, (7-(X$24-2-$I205))/6*2/3, X$24-$I205 =9, (7-(X$24-3-$I205))/6*1/3, TRUE, 0)) *
IF(ISNUMBER(SEARCH("Ordinance",$L205)),7/6,1) *
IF(OR(ISNUMBER(SEARCH("Melee",$L205)),ISNUMBER(SEARCH("Bypass",$L205))),1.5,1)</f>
        <v>2.5</v>
      </c>
      <c r="Y205" s="17" cm="1">
        <f t="array" ref="Y205">$H205 *
IF(ISNUMBER(SEARCH("Rapid",$L205)),7/6,1) *
IF(OR(ISNUMBER(SEARCH("Beam",$L205)),ISNUMBER(SEARCH("Firestorm",$L205))),1, IF(ISNUMBER(SEARCH("Blast",$L205)),(4+$F205+(2-$F205)*0.5)/6*2,(4+$F205)/6)) *
IF(ISNUMBER(SEARCH("Fusion",$L205)), _xlfn.IFS(Y$24-$I205 &lt;=1, 9/10, Y$24-$I205 &lt;=10,(11-(Y$24-$I205))/10, Y$24-$I205 &gt;=11, 0),
_xlfn.IFS(Y$24-$I205 &lt;=1, 5/6, Y$24-$I205 &lt;=5, (7-(Y$24-$I205))/6, AND(Y$24-$I205 =6,NOT(_xlfn.IFNA(ISNUMBER(SEARCH("Rending",$L205)),FALSE))), (7-(Y$24-$I205))/6, AND(Y$24-$I205 &gt;=7,NOT(_xlfn.IFNA(ISNUMBER(SEARCH("Rending",$L205)),FALSE))), 0, Y$24-$I205 =7, (7-(Y$24-1-$I205))/6, Y$24-$I205 =8, (7-(Y$24-2-$I205))/6*2/3, Y$24-$I205 =9, (7-(Y$24-3-$I205))/6*1/3, TRUE, 0)) *
IF(ISNUMBER(SEARCH("Ordinance",$L205)),7/6,1) *
IF(OR(ISNUMBER(SEARCH("Melee",$L205)),ISNUMBER(SEARCH("Bypass",$L205))),1.5,1)</f>
        <v>2</v>
      </c>
      <c r="Z205" s="17" cm="1">
        <f t="array" ref="Z205">$H205 *
IF(ISNUMBER(SEARCH("Rapid",$L205)),7/6,1) *
IF(OR(ISNUMBER(SEARCH("Beam",$L205)),ISNUMBER(SEARCH("Firestorm",$L205))),1, IF(ISNUMBER(SEARCH("Blast",$L205)),(4+$F205+(2-$F205)*0.5)/6*2,(4+$F205)/6)) *
IF(ISNUMBER(SEARCH("Fusion",$L205)), _xlfn.IFS(Z$24-$I205 &lt;=1, 9/10, Z$24-$I205 &lt;=10,(11-(Z$24-$I205))/10, Z$24-$I205 &gt;=11, 0),
_xlfn.IFS(Z$24-$I205 &lt;=1, 5/6, Z$24-$I205 &lt;=5, (7-(Z$24-$I205))/6, AND(Z$24-$I205 =6,NOT(_xlfn.IFNA(ISNUMBER(SEARCH("Rending",$L205)),FALSE))), (7-(Z$24-$I205))/6, AND(Z$24-$I205 &gt;=7,NOT(_xlfn.IFNA(ISNUMBER(SEARCH("Rending",$L205)),FALSE))), 0, Z$24-$I205 =7, (7-(Z$24-1-$I205))/6, Z$24-$I205 =8, (7-(Z$24-2-$I205))/6*2/3, Z$24-$I205 =9, (7-(Z$24-3-$I205))/6*1/3, TRUE, 0)) *
IF(ISNUMBER(SEARCH("Ordinance",$L205)),7/6,1) *
IF(OR(ISNUMBER(SEARCH("Melee",$L205)),ISNUMBER(SEARCH("Bypass",$L205))),1.5,1)</f>
        <v>1.5</v>
      </c>
      <c r="AA205" s="17" cm="1">
        <f t="array" ref="AA205">$H205 *
IF(ISNUMBER(SEARCH("Rapid",$L205)),7/6,1) *
IF(OR(ISNUMBER(SEARCH("Beam",$L205)),ISNUMBER(SEARCH("Firestorm",$L205))),1, IF(ISNUMBER(SEARCH("Blast",$L205)),(4+$F205+(2-$F205)*0.5)/6*2,(4+$F205)/6)) *
IF(ISNUMBER(SEARCH("Fusion",$L205)), _xlfn.IFS(AA$24-$I205 &lt;=1, 9/10, AA$24-$I205 &lt;=10,(11-(AA$24-$I205))/10, AA$24-$I205 &gt;=11, 0),
_xlfn.IFS(AA$24-$I205 &lt;=1, 5/6, AA$24-$I205 &lt;=5, (7-(AA$24-$I205))/6, AND(AA$24-$I205 =6,NOT(_xlfn.IFNA(ISNUMBER(SEARCH("Rending",$L205)),FALSE))), (7-(AA$24-$I205))/6, AND(AA$24-$I205 &gt;=7,NOT(_xlfn.IFNA(ISNUMBER(SEARCH("Rending",$L205)),FALSE))), 0, AA$24-$I205 =7, (7-(AA$24-1-$I205))/6, AA$24-$I205 =8, (7-(AA$24-2-$I205))/6*2/3, AA$24-$I205 =9, (7-(AA$24-3-$I205))/6*1/3, TRUE, 0)) *
IF(ISNUMBER(SEARCH("Ordinance",$L205)),7/6,1) *
IF(OR(ISNUMBER(SEARCH("Melee",$L205)),ISNUMBER(SEARCH("Bypass",$L205))),1.5,1)</f>
        <v>1</v>
      </c>
      <c r="AB205" s="17" cm="1">
        <f t="array" ref="AB205">$H205 *
IF(ISNUMBER(SEARCH("Rapid",$L205)),7/6,1) *
IF(OR(ISNUMBER(SEARCH("Beam",$L205)),ISNUMBER(SEARCH("Firestorm",$L205))),1, IF(ISNUMBER(SEARCH("Blast",$L205)),(4+$F205+(2-$F205)*0.5)/6*2,(4+$F205)/6)) *
IF(ISNUMBER(SEARCH("Fusion",$L205)), _xlfn.IFS(AB$24-$I205 &lt;=1, 9/10, AB$24-$I205 &lt;=10,(11-(AB$24-$I205))/10, AB$24-$I205 &gt;=11, 0),
_xlfn.IFS(AB$24-$I205 &lt;=1, 5/6, AB$24-$I205 &lt;=5, (7-(AB$24-$I205))/6, AND(AB$24-$I205 =6,NOT(_xlfn.IFNA(ISNUMBER(SEARCH("Rending",$L205)),FALSE))), (7-(AB$24-$I205))/6, AND(AB$24-$I205 &gt;=7,NOT(_xlfn.IFNA(ISNUMBER(SEARCH("Rending",$L205)),FALSE))), 0, AB$24-$I205 =7, (7-(AB$24-1-$I205))/6, AB$24-$I205 =8, (7-(AB$24-2-$I205))/6*2/3, AB$24-$I205 =9, (7-(AB$24-3-$I205))/6*1/3, TRUE, 0)) *
IF(ISNUMBER(SEARCH("Ordinance",$L205)),7/6,1) *
IF(OR(ISNUMBER(SEARCH("Melee",$L205)),ISNUMBER(SEARCH("Bypass",$L205))),1.5,1)</f>
        <v>0.5</v>
      </c>
      <c r="AC205" s="17" cm="1">
        <f t="array" ref="AC205">$H205 *
IF(ISNUMBER(SEARCH("Rapid",$L205)),7/6,1) *
IF(OR(ISNUMBER(SEARCH("Beam",$L205)),ISNUMBER(SEARCH("Firestorm",$L205))),1, IF(ISNUMBER(SEARCH("Blast",$L205)),(4+$F205+(2-$F205)*0.5)/6*2,(4+$F205)/6)) *
IF(ISNUMBER(SEARCH("Fusion",$L205)), _xlfn.IFS(AC$24-$I205 &lt;=1, 9/10, AC$24-$I205 &lt;=10,(11-(AC$24-$I205))/10, AC$24-$I205 &gt;=11, 0),
_xlfn.IFS(AC$24-$I205 &lt;=1, 5/6, AC$24-$I205 &lt;=5, (7-(AC$24-$I205))/6, AND(AC$24-$I205 =6,NOT(_xlfn.IFNA(ISNUMBER(SEARCH("Rending",$L205)),FALSE))), (7-(AC$24-$I205))/6, AND(AC$24-$I205 &gt;=7,NOT(_xlfn.IFNA(ISNUMBER(SEARCH("Rending",$L205)),FALSE))), 0, AC$24-$I205 =7, (7-(AC$24-1-$I205))/6, AC$24-$I205 =8, (7-(AC$24-2-$I205))/6*2/3, AC$24-$I205 =9, (7-(AC$24-3-$I205))/6*1/3, TRUE, 0)) *
IF(ISNUMBER(SEARCH("Ordinance",$L205)),7/6,1) *
IF(OR(ISNUMBER(SEARCH("Melee",$L205)),ISNUMBER(SEARCH("Bypass",$L205))),1.5,1)</f>
        <v>0</v>
      </c>
      <c r="AD205" s="17" cm="1">
        <f t="array" ref="AD205">$H205 *
IF(ISNUMBER(SEARCH("Rapid",$L205)),7/6,1) *
IF(OR(ISNUMBER(SEARCH("Beam",$L205)),ISNUMBER(SEARCH("Firestorm",$L205))),1, IF(ISNUMBER(SEARCH("Blast",$L205)),(4+$F205+(2-$F205)*0.5)/6*2,(4+$F205)/6)) *
IF(ISNUMBER(SEARCH("Fusion",$L205)), _xlfn.IFS(AD$24-$I205 &lt;=1, 9/10, AD$24-$I205 &lt;=10,(11-(AD$24-$I205))/10, AD$24-$I205 &gt;=11, 0),
_xlfn.IFS(AD$24-$I205 &lt;=1, 5/6, AD$24-$I205 &lt;=5, (7-(AD$24-$I205))/6, AND(AD$24-$I205 =6,NOT(_xlfn.IFNA(ISNUMBER(SEARCH("Rending",$L205)),FALSE))), (7-(AD$24-$I205))/6, AND(AD$24-$I205 &gt;=7,NOT(_xlfn.IFNA(ISNUMBER(SEARCH("Rending",$L205)),FALSE))), 0, AD$24-$I205 =7, (7-(AD$24-1-$I205))/6, AD$24-$I205 =8, (7-(AD$24-2-$I205))/6*2/3, AD$24-$I205 =9, (7-(AD$24-3-$I205))/6*1/3, TRUE, 0)) *
IF(ISNUMBER(SEARCH("Ordinance",$L205)),7/6,1) *
IF(OR(ISNUMBER(SEARCH("Melee",$L205)),ISNUMBER(SEARCH("Bypass",$L205))),1.5,1)</f>
        <v>0</v>
      </c>
      <c r="AE205" s="17" cm="1">
        <f t="array" ref="AE205">$H205 *
IF(ISNUMBER(SEARCH("Rapid",$L205)),7/6,1) *
IF(OR(ISNUMBER(SEARCH("Beam",$L205)),ISNUMBER(SEARCH("Firestorm",$L205))),1, IF(ISNUMBER(SEARCH("Blast",$L205)),(4+$F205+(2-$F205)*0.5)/6*2,(4+$F205)/6)) *
IF(ISNUMBER(SEARCH("Fusion",$L205)), _xlfn.IFS(AE$24-$I205 &lt;=1, 9/10, AE$24-$I205 &lt;=10,(11-(AE$24-$I205))/10, AE$24-$I205 &gt;=11, 0),
_xlfn.IFS(AE$24-$I205 &lt;=1, 5/6, AE$24-$I205 &lt;=5, (7-(AE$24-$I205))/6, AND(AE$24-$I205 =6,NOT(_xlfn.IFNA(ISNUMBER(SEARCH("Rending",$L205)),FALSE))), (7-(AE$24-$I205))/6, AND(AE$24-$I205 &gt;=7,NOT(_xlfn.IFNA(ISNUMBER(SEARCH("Rending",$L205)),FALSE))), 0, AE$24-$I205 =7, (7-(AE$24-1-$I205))/6, AE$24-$I205 =8, (7-(AE$24-2-$I205))/6*2/3, AE$24-$I205 =9, (7-(AE$24-3-$I205))/6*1/3, TRUE, 0)) *
IF(ISNUMBER(SEARCH("Ordinance",$L205)),7/6,1) *
IF(OR(ISNUMBER(SEARCH("Melee",$L205)),ISNUMBER(SEARCH("Bypass",$L205))),1.5,1)</f>
        <v>0</v>
      </c>
      <c r="AF205" s="17" cm="1">
        <f t="array" ref="AF205">$H205 *
IF(ISNUMBER(SEARCH("Rapid",$L205)),7/6,1) *
IF(OR(ISNUMBER(SEARCH("Beam",$L205)),ISNUMBER(SEARCH("Firestorm",$L205))),1, IF(ISNUMBER(SEARCH("Blast",$L205)),(4+$F205+(2-$F205)*0.5)/6*2,(4+$F205)/6)) *
IF(ISNUMBER(SEARCH("Fusion",$L205)), _xlfn.IFS(AF$24-$I205 &lt;=1, 9/10, AF$24-$I205 &lt;=10,(11-(AF$24-$I205))/10, AF$24-$I205 &gt;=11, 0),
_xlfn.IFS(AF$24-$I205 &lt;=1, 5/6, AF$24-$I205 &lt;=5, (7-(AF$24-$I205))/6, AND(AF$24-$I205 =6,NOT(_xlfn.IFNA(ISNUMBER(SEARCH("Rending",$L205)),FALSE))), (7-(AF$24-$I205))/6, AND(AF$24-$I205 &gt;=7,NOT(_xlfn.IFNA(ISNUMBER(SEARCH("Rending",$L205)),FALSE))), 0, AF$24-$I205 =7, (7-(AF$24-1-$I205))/6, AF$24-$I205 =8, (7-(AF$24-2-$I205))/6*2/3, AF$24-$I205 =9, (7-(AF$24-3-$I205))/6*1/3, TRUE, 0)) *
IF(ISNUMBER(SEARCH("Ordinance",$L205)),7/6,1) *
IF(OR(ISNUMBER(SEARCH("Melee",$L205)),ISNUMBER(SEARCH("Bypass",$L205))),1.5,1)</f>
        <v>0</v>
      </c>
      <c r="AG205" s="16">
        <f t="shared" si="53"/>
        <v>0</v>
      </c>
      <c r="AH205" s="16">
        <f t="shared" si="54"/>
        <v>0</v>
      </c>
      <c r="AI205" s="17" cm="1">
        <f t="array" ref="AI205">$H205 *
IF(ISNUMBER(SEARCH("Rapid",$L205)),7/6,1) *
IF(OR(ISNUMBER(SEARCH("Beam",$L205)),ISNUMBER(SEARCH("Firestorm",$L205))),1, IF(ISNUMBER(SEARCH("Blast",$L205)),(4+$G205+(2-$G205)*0.5)/6*2,(4+$G205)/6)) *
_xlfn.IFS(AI$24-$I205 &lt;=1, 5/6, AI$24-$I205 &lt;=5, (7-(AI$24-$I205))/6, AND(AI$24-$I205 =6,NOT(_xlfn.IFNA(ISNUMBER(SEARCH("Rending",$L205)),FALSE))), (7-(AI$24-$I205))/6, AND(AI$24-$I205 &gt;=7,NOT(_xlfn.IFNA(ISNUMBER(SEARCH("Rending",$L205)),FALSE))), 0, AI$24-$I205 =7, (7-(AI$24-1-$I205))/6, AI$24-$I205 =8, (7-(AI$24-2-$I205))/6*2/3, AI$24-$I205 =9, (7-(AI$24-3-$I205))/6*1/3, TRUE, 0) *
IF(ISNUMBER(SEARCH("Ordinance",$L205)),7/6,1) *
IF(OR(ISNUMBER(SEARCH("Melee",$L205)),ISNUMBER(SEARCH("Bypass",$L205))),1.5,1)</f>
        <v>2.5</v>
      </c>
      <c r="AJ205" s="17" cm="1">
        <f t="array" ref="AJ205">$H205 *
IF(ISNUMBER(SEARCH("Rapid",$L205)),7/6,1) *
IF(OR(ISNUMBER(SEARCH("Beam",$L205)),ISNUMBER(SEARCH("Firestorm",$L205))),1, IF(ISNUMBER(SEARCH("Blast",$L205)),(4+$G205+(2-$G205)*0.5)/6*2,(4+$G205)/6)) *
_xlfn.IFS(AJ$24-$I205 &lt;=1, 5/6, AJ$24-$I205 &lt;=5, (7-(AJ$24-$I205))/6, AND(AJ$24-$I205 =6,NOT(_xlfn.IFNA(ISNUMBER(SEARCH("Rending",$L205)),FALSE))), (7-(AJ$24-$I205))/6, AND(AJ$24-$I205 &gt;=7,NOT(_xlfn.IFNA(ISNUMBER(SEARCH("Rending",$L205)),FALSE))), 0, AJ$24-$I205 =7, (7-(AJ$24-1-$I205))/6, AJ$24-$I205 =8, (7-(AJ$24-2-$I205))/6*2/3, AJ$24-$I205 =9, (7-(AJ$24-3-$I205))/6*1/3, TRUE, 0) *
IF(ISNUMBER(SEARCH("Ordinance",$L205)),7/6,1) *
IF(OR(ISNUMBER(SEARCH("Melee",$L205)),ISNUMBER(SEARCH("Bypass",$L205))),1.5,1)</f>
        <v>2</v>
      </c>
      <c r="AK205" s="17" cm="1">
        <f t="array" ref="AK205">$H205 *
IF(ISNUMBER(SEARCH("Rapid",$L205)),7/6,1) *
IF(OR(ISNUMBER(SEARCH("Beam",$L205)),ISNUMBER(SEARCH("Firestorm",$L205))),1, IF(ISNUMBER(SEARCH("Blast",$L205)),(4+$G205+(2-$G205)*0.5)/6*2,(4+$G205)/6)) *
_xlfn.IFS(AK$24-$I205 &lt;=1, 5/6, AK$24-$I205 &lt;=5, (7-(AK$24-$I205))/6, AND(AK$24-$I205 =6,NOT(_xlfn.IFNA(ISNUMBER(SEARCH("Rending",$L205)),FALSE))), (7-(AK$24-$I205))/6, AND(AK$24-$I205 &gt;=7,NOT(_xlfn.IFNA(ISNUMBER(SEARCH("Rending",$L205)),FALSE))), 0, AK$24-$I205 =7, (7-(AK$24-1-$I205))/6, AK$24-$I205 =8, (7-(AK$24-2-$I205))/6*2/3, AK$24-$I205 =9, (7-(AK$24-3-$I205))/6*1/3, TRUE, 0) *
IF(ISNUMBER(SEARCH("Ordinance",$L205)),7/6,1) *
IF(OR(ISNUMBER(SEARCH("Melee",$L205)),ISNUMBER(SEARCH("Bypass",$L205))),1.5,1)</f>
        <v>1.5</v>
      </c>
      <c r="AL205" s="17" cm="1">
        <f t="array" ref="AL205">$H205 *
IF(ISNUMBER(SEARCH("Rapid",$L205)),7/6,1) *
IF(OR(ISNUMBER(SEARCH("Beam",$L205)),ISNUMBER(SEARCH("Firestorm",$L205))),1, IF(ISNUMBER(SEARCH("Blast",$L205)),(4+$G205+(2-$G205)*0.5)/6*2,(4+$G205)/6)) *
_xlfn.IFS(AL$24-$I205 &lt;=1, 5/6, AL$24-$I205 &lt;=5, (7-(AL$24-$I205))/6, AND(AL$24-$I205 =6,NOT(_xlfn.IFNA(ISNUMBER(SEARCH("Rending",$L205)),FALSE))), (7-(AL$24-$I205))/6, AND(AL$24-$I205 &gt;=7,NOT(_xlfn.IFNA(ISNUMBER(SEARCH("Rending",$L205)),FALSE))), 0, AL$24-$I205 =7, (7-(AL$24-1-$I205))/6, AL$24-$I205 =8, (7-(AL$24-2-$I205))/6*2/3, AL$24-$I205 =9, (7-(AL$24-3-$I205))/6*1/3, TRUE, 0) *
IF(ISNUMBER(SEARCH("Ordinance",$L205)),7/6,1) *
IF(OR(ISNUMBER(SEARCH("Melee",$L205)),ISNUMBER(SEARCH("Bypass",$L205))),1.5,1)</f>
        <v>1</v>
      </c>
      <c r="AM205" s="17" cm="1">
        <f t="array" ref="AM205">$H205 *
IF(ISNUMBER(SEARCH("Rapid",$L205)),7/6,1) *
IF(OR(ISNUMBER(SEARCH("Beam",$L205)),ISNUMBER(SEARCH("Firestorm",$L205))),1, IF(ISNUMBER(SEARCH("Blast",$L205)),(4+$G205+(2-$G205)*0.5)/6*2,(4+$G205)/6)) *
_xlfn.IFS(AM$24-$I205 &lt;=1, 5/6, AM$24-$I205 &lt;=5, (7-(AM$24-$I205))/6, AND(AM$24-$I205 =6,NOT(_xlfn.IFNA(ISNUMBER(SEARCH("Rending",$L205)),FALSE))), (7-(AM$24-$I205))/6, AND(AM$24-$I205 &gt;=7,NOT(_xlfn.IFNA(ISNUMBER(SEARCH("Rending",$L205)),FALSE))), 0, AM$24-$I205 =7, (7-(AM$24-1-$I205))/6, AM$24-$I205 =8, (7-(AM$24-2-$I205))/6*2/3, AM$24-$I205 =9, (7-(AM$24-3-$I205))/6*1/3, TRUE, 0) *
IF(ISNUMBER(SEARCH("Ordinance",$L205)),7/6,1) *
IF(OR(ISNUMBER(SEARCH("Melee",$L205)),ISNUMBER(SEARCH("Bypass",$L205))),1.5,1)</f>
        <v>0.5</v>
      </c>
      <c r="AN205" s="17" cm="1">
        <f t="array" ref="AN205">$H205 *
IF(ISNUMBER(SEARCH("Rapid",$L205)),7/6,1) *
IF(OR(ISNUMBER(SEARCH("Beam",$L205)),ISNUMBER(SEARCH("Firestorm",$L205))),1, IF(ISNUMBER(SEARCH("Blast",$L205)),(4+$G205+(2-$G205)*0.5)/6*2,(4+$G205)/6)) *
_xlfn.IFS(AN$24-$I205 &lt;=1, 5/6, AN$24-$I205 &lt;=5, (7-(AN$24-$I205))/6, AND(AN$24-$I205 =6,NOT(_xlfn.IFNA(ISNUMBER(SEARCH("Rending",$L205)),FALSE))), (7-(AN$24-$I205))/6, AND(AN$24-$I205 &gt;=7,NOT(_xlfn.IFNA(ISNUMBER(SEARCH("Rending",$L205)),FALSE))), 0, AN$24-$I205 =7, (7-(AN$24-1-$I205))/6, AN$24-$I205 =8, (7-(AN$24-2-$I205))/6*2/3, AN$24-$I205 =9, (7-(AN$24-3-$I205))/6*1/3, TRUE, 0) *
IF(ISNUMBER(SEARCH("Ordinance",$L205)),7/6,1) *
IF(OR(ISNUMBER(SEARCH("Melee",$L205)),ISNUMBER(SEARCH("Bypass",$L205))),1.5,1)</f>
        <v>0</v>
      </c>
      <c r="AO205" s="17" cm="1">
        <f t="array" ref="AO205">$H205 *
IF(ISNUMBER(SEARCH("Rapid",$L205)),7/6,1) *
IF(OR(ISNUMBER(SEARCH("Beam",$L205)),ISNUMBER(SEARCH("Firestorm",$L205))),1, IF(ISNUMBER(SEARCH("Blast",$L205)),(4+$G205+(2-$G205)*0.5)/6*2,(4+$G205)/6)) *
_xlfn.IFS(AO$24-$I205 &lt;=1, 5/6, AO$24-$I205 &lt;=5, (7-(AO$24-$I205))/6, AND(AO$24-$I205 =6,NOT(_xlfn.IFNA(ISNUMBER(SEARCH("Rending",$L205)),FALSE))), (7-(AO$24-$I205))/6, AND(AO$24-$I205 &gt;=7,NOT(_xlfn.IFNA(ISNUMBER(SEARCH("Rending",$L205)),FALSE))), 0, AO$24-$I205 =7, (7-(AO$24-1-$I205))/6, AO$24-$I205 =8, (7-(AO$24-2-$I205))/6*2/3, AO$24-$I205 =9, (7-(AO$24-3-$I205))/6*1/3, TRUE, 0) *
IF(ISNUMBER(SEARCH("Ordinance",$L205)),7/6,1) *
IF(OR(ISNUMBER(SEARCH("Melee",$L205)),ISNUMBER(SEARCH("Bypass",$L205))),1.5,1)</f>
        <v>0</v>
      </c>
      <c r="AP205" s="17" cm="1">
        <f t="array" ref="AP205">$H205 *
IF(ISNUMBER(SEARCH("Rapid",$L205)),7/6,1) *
IF(OR(ISNUMBER(SEARCH("Beam",$L205)),ISNUMBER(SEARCH("Firestorm",$L205))),1, IF(ISNUMBER(SEARCH("Blast",$L205)),(4+$G205+(2-$G205)*0.5)/6*2,(4+$G205)/6)) *
_xlfn.IFS(AP$24-$I205 &lt;=1, 5/6, AP$24-$I205 &lt;=5, (7-(AP$24-$I205))/6, AND(AP$24-$I205 =6,NOT(_xlfn.IFNA(ISNUMBER(SEARCH("Rending",$L205)),FALSE))), (7-(AP$24-$I205))/6, AND(AP$24-$I205 &gt;=7,NOT(_xlfn.IFNA(ISNUMBER(SEARCH("Rending",$L205)),FALSE))), 0, AP$24-$I205 =7, (7-(AP$24-1-$I205))/6, AP$24-$I205 =8, (7-(AP$24-2-$I205))/6*2/3, AP$24-$I205 =9, (7-(AP$24-3-$I205))/6*1/3, TRUE, 0) *
IF(ISNUMBER(SEARCH("Ordinance",$L205)),7/6,1) *
IF(OR(ISNUMBER(SEARCH("Melee",$L205)),ISNUMBER(SEARCH("Bypass",$L205))),1.5,1)</f>
        <v>0</v>
      </c>
      <c r="AQ205" s="17" cm="1">
        <f t="array" ref="AQ205">$H205 *
IF(ISNUMBER(SEARCH("Rapid",$L205)),7/6,1) *
IF(OR(ISNUMBER(SEARCH("Beam",$L205)),ISNUMBER(SEARCH("Firestorm",$L205))),1, IF(ISNUMBER(SEARCH("Blast",$L205)),(4+$G205+(2-$G205)*0.5)/6*2,(4+$G205)/6)) *
_xlfn.IFS(AQ$24-$I205 &lt;=1, 5/6, AQ$24-$I205 &lt;=5, (7-(AQ$24-$I205))/6, AND(AQ$24-$I205 =6,NOT(_xlfn.IFNA(ISNUMBER(SEARCH("Rending",$L205)),FALSE))), (7-(AQ$24-$I205))/6, AND(AQ$24-$I205 &gt;=7,NOT(_xlfn.IFNA(ISNUMBER(SEARCH("Rending",$L205)),FALSE))), 0, AQ$24-$I205 =7, (7-(AQ$24-1-$I205))/6, AQ$24-$I205 =8, (7-(AQ$24-2-$I205))/6*2/3, AQ$24-$I205 =9, (7-(AQ$24-3-$I205))/6*1/3, TRUE, 0) *
IF(ISNUMBER(SEARCH("Ordinance",$L205)),7/6,1) *
IF(OR(ISNUMBER(SEARCH("Melee",$L205)),ISNUMBER(SEARCH("Bypass",$L205))),1.5,1)</f>
        <v>0</v>
      </c>
      <c r="AS205" s="16">
        <f t="shared" si="56"/>
        <v>0</v>
      </c>
      <c r="AT205" s="16">
        <f t="shared" si="57"/>
        <v>0</v>
      </c>
      <c r="AU205" s="16">
        <f>IF(D205+E205=3,
 IF(E205=3, 2.5*AI205,
  IF(E205=2, 1.8*AI205+0.7*X205,
   IF(E205=1, 0.95*AI205+1.55*X205,
    2.5*X205))),
 IF(D205+E205=2,
  IF(E205=2, 1.55*AI205,
   IF(E205 =1, 0.85*AI205+0.7*X205,
    1.55*X205)),
  IF(E205=1, 0.95*AI205,
   0.7*X205))
)/3</f>
        <v>1.2916666666666667</v>
      </c>
      <c r="AV205" s="2">
        <v>9</v>
      </c>
    </row>
    <row r="206" spans="1:48" s="36" customFormat="1" x14ac:dyDescent="0.3">
      <c r="B206" s="37"/>
      <c r="C206" s="37"/>
      <c r="D206" s="37"/>
      <c r="E206" s="37"/>
      <c r="F206" s="38"/>
      <c r="G206" s="38"/>
      <c r="H206" s="37"/>
      <c r="I206" s="37"/>
      <c r="J206" s="37"/>
      <c r="K206" s="37"/>
      <c r="L206" s="37"/>
      <c r="M206" s="37"/>
      <c r="N206" s="37"/>
      <c r="O206" s="37"/>
      <c r="P206" s="37"/>
      <c r="Q206" s="37"/>
      <c r="R206" s="37"/>
      <c r="S206" s="37"/>
      <c r="T206" s="37"/>
      <c r="V206" s="16"/>
      <c r="W206" s="16"/>
      <c r="X206" s="17"/>
      <c r="Y206" s="17"/>
      <c r="Z206" s="17"/>
      <c r="AA206" s="17"/>
      <c r="AB206" s="17"/>
      <c r="AC206" s="17"/>
      <c r="AD206" s="17"/>
      <c r="AE206" s="17"/>
      <c r="AF206" s="17"/>
      <c r="AG206" s="16"/>
      <c r="AH206" s="16"/>
      <c r="AI206" s="16"/>
      <c r="AJ206" s="16"/>
      <c r="AK206" s="16"/>
      <c r="AL206" s="16"/>
      <c r="AM206" s="16"/>
      <c r="AN206" s="16"/>
      <c r="AO206" s="16"/>
      <c r="AP206" s="16"/>
      <c r="AQ206" s="16"/>
      <c r="AR206"/>
      <c r="AS206" s="16"/>
      <c r="AT206" s="16"/>
      <c r="AU206" s="16"/>
      <c r="AV206" s="2"/>
    </row>
    <row r="207" spans="1:48" s="36" customFormat="1" x14ac:dyDescent="0.3">
      <c r="B207" s="37"/>
      <c r="C207" s="37"/>
      <c r="D207" s="37"/>
      <c r="E207" s="37"/>
      <c r="F207" s="38"/>
      <c r="G207" s="38"/>
      <c r="H207" s="37"/>
      <c r="I207" s="37"/>
      <c r="J207" s="37"/>
      <c r="K207" s="37"/>
      <c r="L207" s="37"/>
      <c r="M207" s="37"/>
      <c r="N207" s="37"/>
      <c r="O207" s="37"/>
      <c r="P207" s="37"/>
      <c r="Q207" s="37"/>
      <c r="R207" s="37"/>
      <c r="S207" s="37"/>
      <c r="T207" s="37"/>
      <c r="V207" s="16"/>
      <c r="W207" s="16"/>
      <c r="X207" s="17"/>
      <c r="Y207" s="17"/>
      <c r="Z207" s="17"/>
      <c r="AA207" s="17"/>
      <c r="AB207" s="17"/>
      <c r="AC207" s="17"/>
      <c r="AD207" s="17"/>
      <c r="AE207" s="17"/>
      <c r="AF207" s="17"/>
      <c r="AG207" s="16"/>
      <c r="AH207" s="16"/>
      <c r="AI207" s="16"/>
      <c r="AJ207" s="16"/>
      <c r="AK207" s="16"/>
      <c r="AL207" s="16"/>
      <c r="AM207" s="16"/>
      <c r="AN207" s="16"/>
      <c r="AO207" s="16"/>
      <c r="AP207" s="16"/>
      <c r="AQ207" s="16"/>
      <c r="AR207"/>
      <c r="AS207" s="16"/>
      <c r="AT207" s="16"/>
      <c r="AU207" s="16"/>
      <c r="AV207" s="2"/>
    </row>
    <row r="208" spans="1:48" x14ac:dyDescent="0.3">
      <c r="A208" s="6" t="s">
        <v>544</v>
      </c>
      <c r="F208" s="10"/>
      <c r="G208" s="10"/>
      <c r="V208" s="16">
        <f>IF(ISNUMBER(SEARCH("Blast",$L208)), $H208*((4+$F208)/6+(2-$F208*0.5))*2/6*IF(ISNUMBER(SEARCH("Voidbreaker", $L208)),3,1), $H208*IF(ISNUMBER(SEARCH("Beam",$L208)),1,((4+$F208)/6 + IF(ISNUMBER(SEARCH("Rapid",$L208)),1/6,0))) *(2+IF(ISNUMBER(SEARCH("Shieldbane", $L208)),1,0))/6*IF(ISNUMBER(SEARCH("Voidbreaker", $L208)),3,1))</f>
        <v>0</v>
      </c>
      <c r="W208" s="16">
        <f>IF(ISNUMBER(SEARCH("Blast",$L208)), $H208*((4+$F208)/6+(2-$F208*0.5))*3/6*IF(ISNUMBER(SEARCH("Voidbreaker", $L208)),3,1), $H208*IF(ISNUMBER(SEARCH("Beam",$L208)),1,((4+$F208)/6 + IF(ISNUMBER(SEARCH("Rapid",$L208)),1/6,0)))*(3+IF(ISNUMBER(SEARCH("Shieldbane", $L208)),1,0))/6*IF(ISNUMBER(SEARCH("Voidbreaker", $L208)),3,1))</f>
        <v>0</v>
      </c>
      <c r="X208" s="17">
        <f t="shared" ref="X208:AF208" si="58">IF(ISNUMBER(SEARCH("Blast",$L208)), $H208 * ((4+$F208)/6+(2-$F208*0.5))*IF(X$24-$I208&gt;6, 0, IF(X$24-$I208 &lt;=1, 5/6, (7-(X$24-$I208))/6)), $H208 * IF(ISNUMBER(SEARCH("Beam",$L208)),2,((4+$F208)/6 + IF(ISNUMBER(SEARCH("Rapid",$L208)),1/6,0))) * IF(X$24-$I208 &lt;=1, 5/6, IF(X$24-$I208 &lt;=5, (7-(X$24-$I208))/6, IF(X$24-$I208 =6, IF(ISNUMBER(SEARCH("Rending",$L208)),0,(7-(X$24-$I208))/6), IF(X$24-$I208 =7, IF(ISNUMBER(SEARCH("Rending",$L208)),(7-(W$24-$I208))/6,0), IF(X$24-$I208 =8, IF(ISNUMBER(SEARCH("Rending",$L208)),2/3*(7-(V$24-$I208))/6,0), IF(X$24-$I208 =9, IF(ISNUMBER(SEARCH("Rending",$L208)),1/3*(7-(U$24-$I208))/6,0), 0)))))) * IF(ISNUMBER(SEARCH("Ordinance",$L208)),7/6,1))</f>
        <v>0</v>
      </c>
      <c r="Y208" s="17">
        <f t="shared" si="58"/>
        <v>0</v>
      </c>
      <c r="Z208" s="17">
        <f t="shared" si="58"/>
        <v>0</v>
      </c>
      <c r="AA208" s="17">
        <f t="shared" si="58"/>
        <v>0</v>
      </c>
      <c r="AB208" s="17">
        <f t="shared" si="58"/>
        <v>0</v>
      </c>
      <c r="AC208" s="17">
        <f t="shared" si="58"/>
        <v>0</v>
      </c>
      <c r="AD208" s="17">
        <f t="shared" si="58"/>
        <v>0</v>
      </c>
      <c r="AE208" s="17">
        <f t="shared" si="58"/>
        <v>0</v>
      </c>
      <c r="AF208" s="17">
        <f t="shared" si="58"/>
        <v>0</v>
      </c>
      <c r="AG208" s="16">
        <f>IF(ISNUMBER(SEARCH("Blast",$L208)), $H208*((4+$G208)/6+(2-$G208*0.5))*2/6*IF(ISNUMBER(SEARCH("Voidbreaker", $L208)),3,1), $H208*IF(ISNUMBER(SEARCH("Beam",$L208)),1,((4+$G208)/6 + IF(ISNUMBER(SEARCH("Rapid",$L208)),1/6,0))) *(2+IF(ISNUMBER(SEARCH("Shieldbane", $L208)),1,0))/6*IF(ISNUMBER(SEARCH("Voidbreaker", $L208)),3,1))</f>
        <v>0</v>
      </c>
      <c r="AH208" s="16">
        <f>IF(ISNUMBER(SEARCH("Blast",$L208)), $H208*((4+$G208)/6+(2-$G208*0.5))*3/6*IF(ISNUMBER(SEARCH("Voidbreaker", $L208)),3,1), $H208*IF(ISNUMBER(SEARCH("Beam",$L208)),1,((4+$G208)/6 + IF(ISNUMBER(SEARCH("Rapid",$L208)),1/6,0)))*(3+IF(ISNUMBER(SEARCH("Shieldbane", $L208)),1,0))/6*IF(ISNUMBER(SEARCH("Voidbreaker", $L208)),3,1))</f>
        <v>0</v>
      </c>
      <c r="AI208" s="16">
        <f>IF(ISNUMBER(SEARCH("Blast",$L208)), $H208 * ((4+$G208)/6+(2-$G208*0.5))*IF(X$24-$I208&gt;6, 0, IF(X$24-$I208 &lt;=1, 5/6, (7-(X$24-$I208))/6)), $H208 * IF(ISNUMBER(SEARCH("Beam",$L208)),2,((4+$G208)/6 + IF(ISNUMBER(SEARCH("Rapid",$L208)),1/6,0))) * IF(X$24-$I208 &lt;=1, 5/6, IF(X$24-$I208 &lt;=5, (7-(X$24-$I208))/6, IF(X$24-$I208 =6, IF(ISNUMBER(SEARCH("Rending",$L208)),0,(7-(X$24-$I208))/6), IF(X$24-$I208 =7, IF(ISNUMBER(SEARCH("Rending",$L208)),(7-(W$24-$I208))/6,0), IF(X$24-$I208 =8, IF(ISNUMBER(SEARCH("Rending",$L208)),2/3*(7-(V$24-$I208))/6,0), IF(X$24-$I208 =9, IF(ISNUMBER(SEARCH("Rending",$L208)),1/3*(7-(U$24-$I208))/6,0), 0)))))) * IF(ISNUMBER(SEARCH("Ordinance",$L208)),7/6,1))</f>
        <v>0</v>
      </c>
      <c r="AJ208" s="16">
        <f t="shared" ref="AJ208:AQ208" si="59">IF(ISNUMBER(SEARCH("Blast",$L208)), $H208 * ((4+$G208)/6+(2-$G208*0.5))*IF(Y$24-$I208&gt;6, 0, IF(Y$24-$I208 &lt;=1, 5/6, (7-(Y$24-$I208))/6)), $H208 * IF(ISNUMBER(SEARCH("Beam",$L208)),2,((4+$F208)/6 + IF(ISNUMBER(SEARCH("Rapid",$L208)),1/6,0))) * IF(Y$24-$I208 &lt;=1, 5/6, IF(Y$24-$I208 &lt;=5, (7-(Y$24-$I208))/6, IF(Y$24-$I208 =6, IF(ISNUMBER(SEARCH("Rending",$L208)),0,(7-(Y$24-$I208))/6), IF(Y$24-$I208 =7, IF(ISNUMBER(SEARCH("Rending",$L208)),(7-(X$24-$I208))/6,0), IF(Y$24-$I208 =8, IF(ISNUMBER(SEARCH("Rending",$L208)),2/3*(7-(W$24-$I208))/6,0), IF(Y$24-$I208 =9, IF(ISNUMBER(SEARCH("Rending",$L208)),1/3*(7-(V$24-$I208))/6,0), 0)))))) * IF(ISNUMBER(SEARCH("Ordinance",$L208)),7/6,1))</f>
        <v>0</v>
      </c>
      <c r="AK208" s="16">
        <f t="shared" si="59"/>
        <v>0</v>
      </c>
      <c r="AL208" s="16">
        <f t="shared" si="59"/>
        <v>0</v>
      </c>
      <c r="AM208" s="16">
        <f t="shared" si="59"/>
        <v>0</v>
      </c>
      <c r="AN208" s="16">
        <f t="shared" si="59"/>
        <v>0</v>
      </c>
      <c r="AO208" s="16">
        <f t="shared" si="59"/>
        <v>0</v>
      </c>
      <c r="AP208" s="16">
        <f t="shared" si="59"/>
        <v>0</v>
      </c>
      <c r="AQ208" s="16">
        <f t="shared" si="59"/>
        <v>0</v>
      </c>
      <c r="AS208" s="16">
        <f t="shared" ref="AS208:AT211" si="60">IF($E208=1,AG208*3,IF($E208=2,2*AG208,1.1*AG208))/3</f>
        <v>0</v>
      </c>
      <c r="AT208" s="16">
        <f t="shared" si="60"/>
        <v>0</v>
      </c>
      <c r="AU208" s="16">
        <f>IF($D208=3,IF($E208=1,1.9*AI208+1.1*X208,IF($E208=2,0.9*AI208+1.1*X208,1.1*X208)),IF($E208=1,AI208*3,IF($E208=2,2*AI208,1.1*AI208)))/3</f>
        <v>0</v>
      </c>
    </row>
    <row r="209" spans="1:48" x14ac:dyDescent="0.3">
      <c r="A209" t="str">
        <f>'40K9_Stats'!O17</f>
        <v>D-bombard</v>
      </c>
      <c r="B209" s="3">
        <v>15</v>
      </c>
      <c r="C209" s="3">
        <v>30</v>
      </c>
      <c r="D209" s="3">
        <v>2</v>
      </c>
      <c r="E209" s="3">
        <v>1</v>
      </c>
      <c r="F209" s="10">
        <v>0</v>
      </c>
      <c r="G209" s="10">
        <v>-1</v>
      </c>
      <c r="H209" s="3">
        <v>1</v>
      </c>
      <c r="I209" s="3">
        <v>12</v>
      </c>
      <c r="J209" s="3" t="s">
        <v>548</v>
      </c>
      <c r="K209" s="3">
        <v>60</v>
      </c>
      <c r="L209" s="3" t="s">
        <v>803</v>
      </c>
      <c r="M209" s="3" t="s">
        <v>599</v>
      </c>
      <c r="N209" s="3">
        <v>11</v>
      </c>
      <c r="O209" s="3">
        <v>11</v>
      </c>
      <c r="P209" s="3">
        <v>15</v>
      </c>
      <c r="Q209" s="3" t="s">
        <v>200</v>
      </c>
      <c r="R209" s="3">
        <v>7</v>
      </c>
      <c r="S209" s="3">
        <v>9</v>
      </c>
      <c r="T209" s="3">
        <v>5</v>
      </c>
      <c r="U209" t="s">
        <v>801</v>
      </c>
      <c r="V209" s="16">
        <f>IF(ISNUMBER(SEARCH("Blast",$L209)), $H209*((4+$F209)/6+(2-$F209*0.5))*2/6*IF(ISNUMBER(SEARCH("Voidbreaker", $L209)),3,1), $H209*IF(ISNUMBER(SEARCH("Beam",$L209)),1,((4+$F209)/6 + IF(ISNUMBER(SEARCH("Rapid",$L209)),1/6,0)))*(2+IF(ISNUMBER(SEARCH("Shieldbane", $L209)),1,0))/6*IF(ISNUMBER(SEARCH("Voidbreaker", $L209)),3,1))*IF(OR(ISNUMBER(SEARCH("Melee",$L209)),ISNUMBER(SEARCH("Bypass",$L209)),ISNUMBER(SEARCH("Warp",$L209))),0,1)</f>
        <v>0</v>
      </c>
      <c r="W209" s="16">
        <f>IF(ISNUMBER(SEARCH("Blast",$L209)), $H209*((4+$F209)/6+(2-$F209*0.5))*3/6*IF(ISNUMBER(SEARCH("Voidbreaker", $L209)),3,1), $H209*IF(ISNUMBER(SEARCH("Beam",$L209)),1,((4+$F209)/6 + IF(ISNUMBER(SEARCH("Rapid",$L209)),1/6,0)))*(3+IF(ISNUMBER(SEARCH("Shieldbane", $L209)),1,0))/6*IF(ISNUMBER(SEARCH("Voidbreaker", $L209)),3,1))*IF(OR(ISNUMBER(SEARCH("Melee",$L209)),ISNUMBER(SEARCH("Bypass",$L209)),ISNUMBER(SEARCH("Warp",$L209))),0,1)</f>
        <v>0</v>
      </c>
      <c r="X209" s="63">
        <f>IF(ISNUMBER(SEARCH("Blast",$L209)), $H209 *( ((4+$F209)/6)+(((2-$F209)*0.5)/6) )*IF(X$24-$I209&gt;6, 0, IF(X$24-$I209 &lt;=1, 5/6, (7-(X$24-$I209))/6)), $H209 * IF(ISNUMBER(SEARCH("Beam",$L209)),2,((4+$F209)/6 + IF(ISNUMBER(SEARCH("Rapid",$L209)),1/6,0))) * IF(X$24-$I209 &lt;=1, 5/6, IF(X$24-$I209 &lt;=5, (7-(X$24-$I209))/6, IF(X$24-$I209 =6, IF(ISNUMBER(SEARCH("Rending",$L209)),0,(7-(X$24-$I209))/6), IF(X$24-$I209 =7, IF(ISNUMBER(SEARCH("Rending",$L209)),(7-(X$24-1-$I209))/6,0), IF(X$24-$I209 =8, IF(ISNUMBER(SEARCH("Rending",$L209)),2/3*(7-(X$24-2-$I209))/6,0), IF(X$24-$I209 =9, IF(ISNUMBER(SEARCH("Rending",$L209)),1/3*(7-(X$24-3-$I209))/6,0), 0)))))) * IF(ISNUMBER(SEARCH("Ordinance",$L209)),7/6,1))*IF(OR(ISNUMBER(SEARCH("Melee",$L209)),ISNUMBER(SEARCH("Bypass",$L209))),1.5,1)</f>
        <v>1.0416666666666665</v>
      </c>
      <c r="Y209" s="63">
        <f t="shared" ref="Y209:AD209" si="61">IF(ISNUMBER(SEARCH("Blast",$L209)), $H209 *( ((4+$F209)/6)+(((2-$F209)*0.5)/6) )*IF(Y$24-$I209&gt;6, 0, IF(Y$24-$I209 &lt;=1, 5/6, (7-(Y$24-$I209))/6)), $H209 * IF(ISNUMBER(SEARCH("Beam",$L209)),2,((4+$F209)/6 + IF(ISNUMBER(SEARCH("Rapid",$L209)),1/6,0))) * IF(Y$24-$I209 &lt;=1, 5/6, IF(Y$24-$I209 &lt;=5, (7-(Y$24-$I209))/6, IF(Y$24-$I209 =6, IF(ISNUMBER(SEARCH("Rending",$L209)),0,(7-(Y$24-$I209))/6), IF(Y$24-$I209 =7, IF(ISNUMBER(SEARCH("Rending",$L209)),(7-(Y$24-1-$I209))/6,0), IF(Y$24-$I209 =8, IF(ISNUMBER(SEARCH("Rending",$L209)),2/3*(7-(Y$24-2-$I209))/6,0), IF(Y$24-$I209 =9, IF(ISNUMBER(SEARCH("Rending",$L209)),1/3*(7-(Y$24-3-$I209))/6,0), 0)))))) * IF(ISNUMBER(SEARCH("Ordinance",$L209)),7/6,1))*IF(OR(ISNUMBER(SEARCH("Melee",$L209)),ISNUMBER(SEARCH("Bypass",$L209))),1.5,1)</f>
        <v>1.0416666666666665</v>
      </c>
      <c r="Z209" s="63">
        <f t="shared" si="61"/>
        <v>1.0416666666666665</v>
      </c>
      <c r="AA209" s="63">
        <f t="shared" si="61"/>
        <v>1.0416666666666665</v>
      </c>
      <c r="AB209" s="63">
        <f t="shared" si="61"/>
        <v>1.0416666666666665</v>
      </c>
      <c r="AC209" s="63">
        <f t="shared" si="61"/>
        <v>1.0416666666666665</v>
      </c>
      <c r="AD209" s="63">
        <f t="shared" si="61"/>
        <v>0.83333333333333326</v>
      </c>
      <c r="AE209" s="17">
        <f t="shared" ref="X209:AF211" si="62">IF(ISNUMBER(SEARCH("Blast",$L209)), $H209 * ((4+$F209)/6+(2-$F209*0.5))*IF(AE$24-$I209&gt;6, 0, IF(AE$24-$I209 &lt;=1, 5/6, (7-(AE$24-$I209))/6)), $H209 * IF(ISNUMBER(SEARCH("Beam",$L209)),2,((4+$F209)/6 + IF(ISNUMBER(SEARCH("Rapid",$L209)),1/6,0))) * IF(AE$24-$I209 &lt;=1, 5/6, IF(AE$24-$I209 &lt;=5, (7-(AE$24-$I209))/6, IF(AE$24-$I209 =6, IF(ISNUMBER(SEARCH("Rending",$L209)),0,(7-(AE$24-$I209))/6), IF(AE$24-$I209 =7, IF(ISNUMBER(SEARCH("Rending",$L209)),(7-(AE$24-1-$I209))/6,0), IF(AE$24-$I209 =8, IF(ISNUMBER(SEARCH("Rending",$L209)),2/3*(7-(AE$24-2-$I209))/6,0), IF(AE$24-$I209 =9, IF(ISNUMBER(SEARCH("Rending",$L209)),1/3*(7-(AE$24-3-$I209))/6,0), 0)))))) * IF(ISNUMBER(SEARCH("Ordinance",$L209)),7/6,1))*IF(OR(ISNUMBER(SEARCH("Melee",$L209)),ISNUMBER(SEARCH("Bypass",$L209))),1.5,1)</f>
        <v>2</v>
      </c>
      <c r="AF209" s="17">
        <f t="shared" si="62"/>
        <v>1.3333333333333333</v>
      </c>
      <c r="AG209" s="16">
        <f>IF(ISNUMBER(SEARCH("Blast",$L209)), $H209*((4+$G209)/6+(2-$G209*0.5))*2/6*IF(ISNUMBER(SEARCH("Voidbreaker", $L209)),3,1), $H209*IF(ISNUMBER(SEARCH("Beam",$L209)),1,((4+$G209)/6 + IF(ISNUMBER(SEARCH("Rapid",$L209)),1/6,0)))*(2+IF(ISNUMBER(SEARCH("Shieldbane", $L209)),1,0))/6*IF(ISNUMBER(SEARCH("Voidbreaker", $L209)),3,1))*IF(OR(ISNUMBER(SEARCH("Melee",$L209)),ISNUMBER(SEARCH("Bypass",$L209)),ISNUMBER(SEARCH("Warp",$L209))),0,1)</f>
        <v>0</v>
      </c>
      <c r="AH209" s="16">
        <f>IF(ISNUMBER(SEARCH("Blast",$L209)), $H209*((4+$G209)/6+(2-$G209*0.5))*3/6*IF(ISNUMBER(SEARCH("Voidbreaker", $L209)),3,1), $H209*IF(ISNUMBER(SEARCH("Beam",$L209)),1,((4+$G209)/6 + IF(ISNUMBER(SEARCH("Rapid",$L209)),1/6,0)))*(3+IF(ISNUMBER(SEARCH("Shieldbane", $L209)),1,0))/6*IF(ISNUMBER(SEARCH("Voidbreaker", $L209)),3,1))*IF(OR(ISNUMBER(SEARCH("Melee",$L209)),ISNUMBER(SEARCH("Bypass",$L209)),ISNUMBER(SEARCH("Warp",$L209))),0,1)</f>
        <v>0</v>
      </c>
      <c r="AI209" s="16">
        <f t="shared" ref="AI209:AQ211" si="63">IF(ISNUMBER(SEARCH("Blast",$L209)), $H209 * ((4+$G209)/6+(2-$G209*0.5))*IF(AI$24-$I209&gt;6, 0, IF(AI$24-$I209 &lt;=1, 5/6, (7-(AI$24-$I209))/6)), $H209 * IF(ISNUMBER(SEARCH("Beam",$L209)),2,((4+$G209)/6 + IF(ISNUMBER(SEARCH("Rapid",$L209)),1/6,0))) * IF(AI$24-$I209 &lt;=1, 5/6, IF(AI$24-$I209 &lt;=5, (7-(AI$24-$I209))/6, IF(AI$24-$I209 =6, IF(ISNUMBER(SEARCH("Rending",$L209)),0,(7-(AI$24-$I209))/6), IF(AI$24-$I209 =7, IF(ISNUMBER(SEARCH("Rending",$L209)),(7-(AI$24-1-$I209))/6,0), IF(AI$24-$I209 =8, IF(ISNUMBER(SEARCH("Rending",$L209)),2/3*(7-(AI$24-2-$I209))/6,0), IF(AI$24-$I209 =9, IF(ISNUMBER(SEARCH("Rending",$L209)),1/3*(7-(AI$24-3-$I209))/6,0), 0)))))) * IF(ISNUMBER(SEARCH("Ordinance",$L209)),7/6,1))*IF(OR(ISNUMBER(SEARCH("Melee",$L209)),ISNUMBER(SEARCH("Bypass",$L209))),1.5,1)</f>
        <v>3.75</v>
      </c>
      <c r="AJ209" s="62">
        <f t="shared" ref="AJ209:AQ209" si="64">$H$209*( ((4+$G$209)/6)+(((2-$G$209)*0.5)/6) )*3</f>
        <v>2.25</v>
      </c>
      <c r="AK209" s="62">
        <f t="shared" si="64"/>
        <v>2.25</v>
      </c>
      <c r="AL209" s="62">
        <f t="shared" si="64"/>
        <v>2.25</v>
      </c>
      <c r="AM209" s="62">
        <f t="shared" si="64"/>
        <v>2.25</v>
      </c>
      <c r="AN209" s="62">
        <f t="shared" si="64"/>
        <v>2.25</v>
      </c>
      <c r="AO209" s="62">
        <f t="shared" si="64"/>
        <v>2.25</v>
      </c>
      <c r="AP209" s="62">
        <f t="shared" si="64"/>
        <v>2.25</v>
      </c>
      <c r="AQ209" s="62">
        <f t="shared" si="64"/>
        <v>2.25</v>
      </c>
      <c r="AS209" s="16">
        <f t="shared" si="60"/>
        <v>0</v>
      </c>
      <c r="AT209" s="16">
        <f t="shared" si="60"/>
        <v>0</v>
      </c>
      <c r="AU209" s="16">
        <f>IF(D209+E209=3,
 IF(E209=3, 2.5*AI209,
  IF(E209=2, 1.8*AI209+0.7*X209,
   IF(E209=1, 0.95*AI209+1.55*X209,
    2.5*X209))),
 IF(D209+E209=2,
  IF(E209=2, 1.55*AI209,
   IF(E209 =1, 0.85*AI209+0.7*X209,
    1.55*X209)),
  IF(E209=1, 0.95*AI209,
   0.7*X209))
)/3</f>
        <v>1.7256944444444444</v>
      </c>
      <c r="AV209" s="2">
        <v>15</v>
      </c>
    </row>
    <row r="210" spans="1:48" x14ac:dyDescent="0.3">
      <c r="A210" t="str">
        <f>'40K9_Stats'!O18</f>
        <v>Phantom Pulsar</v>
      </c>
      <c r="B210" s="3">
        <v>30</v>
      </c>
      <c r="C210" s="3">
        <f>'40K9_Stats'!P18/2*(('40K9_Stats'!P18/2)/60)^0.25</f>
        <v>60</v>
      </c>
      <c r="D210" s="3">
        <v>2</v>
      </c>
      <c r="E210" s="3">
        <v>1</v>
      </c>
      <c r="F210" s="10">
        <v>0</v>
      </c>
      <c r="G210" s="10"/>
      <c r="H210" s="3">
        <v>3</v>
      </c>
      <c r="I210" s="3">
        <v>9</v>
      </c>
      <c r="J210" s="3" t="s">
        <v>548</v>
      </c>
      <c r="K210" s="3">
        <v>40</v>
      </c>
      <c r="L210" s="3" t="s">
        <v>337</v>
      </c>
      <c r="M210" s="3" t="s">
        <v>599</v>
      </c>
      <c r="N210" s="3">
        <v>11</v>
      </c>
      <c r="O210" s="3">
        <v>11</v>
      </c>
      <c r="P210" s="3">
        <v>15</v>
      </c>
      <c r="Q210" s="3" t="s">
        <v>200</v>
      </c>
      <c r="R210" s="3">
        <v>7</v>
      </c>
      <c r="S210" s="3">
        <v>9</v>
      </c>
      <c r="T210" s="3">
        <v>4</v>
      </c>
      <c r="V210" s="16">
        <f t="shared" ref="V210:V255" si="65">IF(OR(ISNUMBER(SEARCH("Melee",$L210)),ISNUMBER(SEARCH("Bypass",$L210))),0, (($H210 *IF(ISNUMBER(SEARCH("Rapid",$L210)),7/6,1)*IF(OR(ISNUMBER(SEARCH("Beam",$L210)),ISNUMBER(SEARCH("Firestorm",$L210))),1, IF(ISNUMBER(SEARCH("Blast",$L210)),(4+$F210+(2-$F210)*0.5)/6*2,(4+$F210)/6)))+IF(ISNUMBER(SEARCH("Voidbreaker", $L210)),1.89,0)) *IF(ISNUMBER(SEARCH("Shieldbane", $L210)),3/6,2/6))</f>
        <v>1</v>
      </c>
      <c r="W210" s="16">
        <f t="shared" ref="W210:W255" si="66">IF(OR(ISNUMBER(SEARCH("Melee",$L210)),ISNUMBER(SEARCH("Bypass",$L210))),0, (($H210 *IF(ISNUMBER(SEARCH("Rapid",$L210)),7/6,1)*IF(OR(ISNUMBER(SEARCH("Beam",$L210)),ISNUMBER(SEARCH("Firestorm",$L210))),1, IF(ISNUMBER(SEARCH("Blast",$L210)),(4+$F210+(2-$F210)*0.5)/6*2,(4+$F210)/6)))+IF(ISNUMBER(SEARCH("Voidbreaker", $L210)),1.89,0)) *IF(ISNUMBER(SEARCH("Shieldbane", $L210)),4/6,3/6))</f>
        <v>1.3333333333333333</v>
      </c>
      <c r="X210" s="17" cm="1">
        <f t="array" ref="X210">$H210 *
IF(ISNUMBER(SEARCH("Rapid",$L210)),7/6,1) *
IF(OR(ISNUMBER(SEARCH("Beam",$L210)),ISNUMBER(SEARCH("Firestorm",$L210))),1, IF(ISNUMBER(SEARCH("Blast",$L210)),(4+$F210+(2-$F210)*0.5)/6*2,(4+$F210)/6)) *
IF(ISNUMBER(SEARCH("Fusion",$L210)), _xlfn.IFS(X$24-$I210 &lt;=1, 9/10, X$24-$I210 &lt;=10,(11-(X$24-$I210))/10, X$24-$I210 &gt;=11, 0),
_xlfn.IFS(X$24-$I210 &lt;=1, 5/6, X$24-$I210 &lt;=5, (7-(X$24-$I210))/6, AND(X$24-$I210 =6,NOT(_xlfn.IFNA(ISNUMBER(SEARCH("Rending",$L210)),FALSE))), (7-(X$24-$I210))/6, AND(X$24-$I210 &gt;=7,NOT(_xlfn.IFNA(ISNUMBER(SEARCH("Rending",$L210)),FALSE))), 0, X$24-$I210 =7, (7-(X$24-1-$I210))/6, X$24-$I210 =8, (7-(X$24-2-$I210))/6*2/3, X$24-$I210 =9, (7-(X$24-3-$I210))/6*1/3, TRUE, 0)) *
IF(ISNUMBER(SEARCH("Ordinance",$L210)),7/6,1) *
IF(OR(ISNUMBER(SEARCH("Melee",$L210)),ISNUMBER(SEARCH("Bypass",$L210))),1.5,1)</f>
        <v>1.6666666666666667</v>
      </c>
      <c r="Y210" s="17" cm="1">
        <f t="array" ref="Y210">$H210 *
IF(ISNUMBER(SEARCH("Rapid",$L210)),7/6,1) *
IF(OR(ISNUMBER(SEARCH("Beam",$L210)),ISNUMBER(SEARCH("Firestorm",$L210))),1, IF(ISNUMBER(SEARCH("Blast",$L210)),(4+$F210+(2-$F210)*0.5)/6*2,(4+$F210)/6)) *
IF(ISNUMBER(SEARCH("Fusion",$L210)), _xlfn.IFS(Y$24-$I210 &lt;=1, 9/10, Y$24-$I210 &lt;=10,(11-(Y$24-$I210))/10, Y$24-$I210 &gt;=11, 0),
_xlfn.IFS(Y$24-$I210 &lt;=1, 5/6, Y$24-$I210 &lt;=5, (7-(Y$24-$I210))/6, AND(Y$24-$I210 =6,NOT(_xlfn.IFNA(ISNUMBER(SEARCH("Rending",$L210)),FALSE))), (7-(Y$24-$I210))/6, AND(Y$24-$I210 &gt;=7,NOT(_xlfn.IFNA(ISNUMBER(SEARCH("Rending",$L210)),FALSE))), 0, Y$24-$I210 =7, (7-(Y$24-1-$I210))/6, Y$24-$I210 =8, (7-(Y$24-2-$I210))/6*2/3, Y$24-$I210 =9, (7-(Y$24-3-$I210))/6*1/3, TRUE, 0)) *
IF(ISNUMBER(SEARCH("Ordinance",$L210)),7/6,1) *
IF(OR(ISNUMBER(SEARCH("Melee",$L210)),ISNUMBER(SEARCH("Bypass",$L210))),1.5,1)</f>
        <v>1.6666666666666667</v>
      </c>
      <c r="Z210" s="17" cm="1">
        <f t="array" ref="Z210">$H210 *
IF(ISNUMBER(SEARCH("Rapid",$L210)),7/6,1) *
IF(OR(ISNUMBER(SEARCH("Beam",$L210)),ISNUMBER(SEARCH("Firestorm",$L210))),1, IF(ISNUMBER(SEARCH("Blast",$L210)),(4+$F210+(2-$F210)*0.5)/6*2,(4+$F210)/6)) *
IF(ISNUMBER(SEARCH("Fusion",$L210)), _xlfn.IFS(Z$24-$I210 &lt;=1, 9/10, Z$24-$I210 &lt;=10,(11-(Z$24-$I210))/10, Z$24-$I210 &gt;=11, 0),
_xlfn.IFS(Z$24-$I210 &lt;=1, 5/6, Z$24-$I210 &lt;=5, (7-(Z$24-$I210))/6, AND(Z$24-$I210 =6,NOT(_xlfn.IFNA(ISNUMBER(SEARCH("Rending",$L210)),FALSE))), (7-(Z$24-$I210))/6, AND(Z$24-$I210 &gt;=7,NOT(_xlfn.IFNA(ISNUMBER(SEARCH("Rending",$L210)),FALSE))), 0, Z$24-$I210 =7, (7-(Z$24-1-$I210))/6, Z$24-$I210 =8, (7-(Z$24-2-$I210))/6*2/3, Z$24-$I210 =9, (7-(Z$24-3-$I210))/6*1/3, TRUE, 0)) *
IF(ISNUMBER(SEARCH("Ordinance",$L210)),7/6,1) *
IF(OR(ISNUMBER(SEARCH("Melee",$L210)),ISNUMBER(SEARCH("Bypass",$L210))),1.5,1)</f>
        <v>1.6666666666666667</v>
      </c>
      <c r="AA210" s="17" cm="1">
        <f t="array" ref="AA210">$H210 *
IF(ISNUMBER(SEARCH("Rapid",$L210)),7/6,1) *
IF(OR(ISNUMBER(SEARCH("Beam",$L210)),ISNUMBER(SEARCH("Firestorm",$L210))),1, IF(ISNUMBER(SEARCH("Blast",$L210)),(4+$F210+(2-$F210)*0.5)/6*2,(4+$F210)/6)) *
IF(ISNUMBER(SEARCH("Fusion",$L210)), _xlfn.IFS(AA$24-$I210 &lt;=1, 9/10, AA$24-$I210 &lt;=10,(11-(AA$24-$I210))/10, AA$24-$I210 &gt;=11, 0),
_xlfn.IFS(AA$24-$I210 &lt;=1, 5/6, AA$24-$I210 &lt;=5, (7-(AA$24-$I210))/6, AND(AA$24-$I210 =6,NOT(_xlfn.IFNA(ISNUMBER(SEARCH("Rending",$L210)),FALSE))), (7-(AA$24-$I210))/6, AND(AA$24-$I210 &gt;=7,NOT(_xlfn.IFNA(ISNUMBER(SEARCH("Rending",$L210)),FALSE))), 0, AA$24-$I210 =7, (7-(AA$24-1-$I210))/6, AA$24-$I210 =8, (7-(AA$24-2-$I210))/6*2/3, AA$24-$I210 =9, (7-(AA$24-3-$I210))/6*1/3, TRUE, 0)) *
IF(ISNUMBER(SEARCH("Ordinance",$L210)),7/6,1) *
IF(OR(ISNUMBER(SEARCH("Melee",$L210)),ISNUMBER(SEARCH("Bypass",$L210))),1.5,1)</f>
        <v>1.3333333333333333</v>
      </c>
      <c r="AB210" s="17" cm="1">
        <f t="array" ref="AB210">$H210 *
IF(ISNUMBER(SEARCH("Rapid",$L210)),7/6,1) *
IF(OR(ISNUMBER(SEARCH("Beam",$L210)),ISNUMBER(SEARCH("Firestorm",$L210))),1, IF(ISNUMBER(SEARCH("Blast",$L210)),(4+$F210+(2-$F210)*0.5)/6*2,(4+$F210)/6)) *
IF(ISNUMBER(SEARCH("Fusion",$L210)), _xlfn.IFS(AB$24-$I210 &lt;=1, 9/10, AB$24-$I210 &lt;=10,(11-(AB$24-$I210))/10, AB$24-$I210 &gt;=11, 0),
_xlfn.IFS(AB$24-$I210 &lt;=1, 5/6, AB$24-$I210 &lt;=5, (7-(AB$24-$I210))/6, AND(AB$24-$I210 =6,NOT(_xlfn.IFNA(ISNUMBER(SEARCH("Rending",$L210)),FALSE))), (7-(AB$24-$I210))/6, AND(AB$24-$I210 &gt;=7,NOT(_xlfn.IFNA(ISNUMBER(SEARCH("Rending",$L210)),FALSE))), 0, AB$24-$I210 =7, (7-(AB$24-1-$I210))/6, AB$24-$I210 =8, (7-(AB$24-2-$I210))/6*2/3, AB$24-$I210 =9, (7-(AB$24-3-$I210))/6*1/3, TRUE, 0)) *
IF(ISNUMBER(SEARCH("Ordinance",$L210)),7/6,1) *
IF(OR(ISNUMBER(SEARCH("Melee",$L210)),ISNUMBER(SEARCH("Bypass",$L210))),1.5,1)</f>
        <v>1</v>
      </c>
      <c r="AC210" s="17" cm="1">
        <f t="array" ref="AC210">$H210 *
IF(ISNUMBER(SEARCH("Rapid",$L210)),7/6,1) *
IF(OR(ISNUMBER(SEARCH("Beam",$L210)),ISNUMBER(SEARCH("Firestorm",$L210))),1, IF(ISNUMBER(SEARCH("Blast",$L210)),(4+$F210+(2-$F210)*0.5)/6*2,(4+$F210)/6)) *
IF(ISNUMBER(SEARCH("Fusion",$L210)), _xlfn.IFS(AC$24-$I210 &lt;=1, 9/10, AC$24-$I210 &lt;=10,(11-(AC$24-$I210))/10, AC$24-$I210 &gt;=11, 0),
_xlfn.IFS(AC$24-$I210 &lt;=1, 5/6, AC$24-$I210 &lt;=5, (7-(AC$24-$I210))/6, AND(AC$24-$I210 =6,NOT(_xlfn.IFNA(ISNUMBER(SEARCH("Rending",$L210)),FALSE))), (7-(AC$24-$I210))/6, AND(AC$24-$I210 &gt;=7,NOT(_xlfn.IFNA(ISNUMBER(SEARCH("Rending",$L210)),FALSE))), 0, AC$24-$I210 =7, (7-(AC$24-1-$I210))/6, AC$24-$I210 =8, (7-(AC$24-2-$I210))/6*2/3, AC$24-$I210 =9, (7-(AC$24-3-$I210))/6*1/3, TRUE, 0)) *
IF(ISNUMBER(SEARCH("Ordinance",$L210)),7/6,1) *
IF(OR(ISNUMBER(SEARCH("Melee",$L210)),ISNUMBER(SEARCH("Bypass",$L210))),1.5,1)</f>
        <v>0.66666666666666663</v>
      </c>
      <c r="AD210" s="17" cm="1">
        <f t="array" ref="AD210">$H210 *
IF(ISNUMBER(SEARCH("Rapid",$L210)),7/6,1) *
IF(OR(ISNUMBER(SEARCH("Beam",$L210)),ISNUMBER(SEARCH("Firestorm",$L210))),1, IF(ISNUMBER(SEARCH("Blast",$L210)),(4+$F210+(2-$F210)*0.5)/6*2,(4+$F210)/6)) *
IF(ISNUMBER(SEARCH("Fusion",$L210)), _xlfn.IFS(AD$24-$I210 &lt;=1, 9/10, AD$24-$I210 &lt;=10,(11-(AD$24-$I210))/10, AD$24-$I210 &gt;=11, 0),
_xlfn.IFS(AD$24-$I210 &lt;=1, 5/6, AD$24-$I210 &lt;=5, (7-(AD$24-$I210))/6, AND(AD$24-$I210 =6,NOT(_xlfn.IFNA(ISNUMBER(SEARCH("Rending",$L210)),FALSE))), (7-(AD$24-$I210))/6, AND(AD$24-$I210 &gt;=7,NOT(_xlfn.IFNA(ISNUMBER(SEARCH("Rending",$L210)),FALSE))), 0, AD$24-$I210 =7, (7-(AD$24-1-$I210))/6, AD$24-$I210 =8, (7-(AD$24-2-$I210))/6*2/3, AD$24-$I210 =9, (7-(AD$24-3-$I210))/6*1/3, TRUE, 0)) *
IF(ISNUMBER(SEARCH("Ordinance",$L210)),7/6,1) *
IF(OR(ISNUMBER(SEARCH("Melee",$L210)),ISNUMBER(SEARCH("Bypass",$L210))),1.5,1)</f>
        <v>0.33333333333333331</v>
      </c>
      <c r="AE210" s="17" cm="1">
        <f t="array" ref="AE210">$H210 *
IF(ISNUMBER(SEARCH("Rapid",$L210)),7/6,1) *
IF(OR(ISNUMBER(SEARCH("Beam",$L210)),ISNUMBER(SEARCH("Firestorm",$L210))),1, IF(ISNUMBER(SEARCH("Blast",$L210)),(4+$F210+(2-$F210)*0.5)/6*2,(4+$F210)/6)) *
IF(ISNUMBER(SEARCH("Fusion",$L210)), _xlfn.IFS(AE$24-$I210 &lt;=1, 9/10, AE$24-$I210 &lt;=10,(11-(AE$24-$I210))/10, AE$24-$I210 &gt;=11, 0),
_xlfn.IFS(AE$24-$I210 &lt;=1, 5/6, AE$24-$I210 &lt;=5, (7-(AE$24-$I210))/6, AND(AE$24-$I210 =6,NOT(_xlfn.IFNA(ISNUMBER(SEARCH("Rending",$L210)),FALSE))), (7-(AE$24-$I210))/6, AND(AE$24-$I210 &gt;=7,NOT(_xlfn.IFNA(ISNUMBER(SEARCH("Rending",$L210)),FALSE))), 0, AE$24-$I210 =7, (7-(AE$24-1-$I210))/6, AE$24-$I210 =8, (7-(AE$24-2-$I210))/6*2/3, AE$24-$I210 =9, (7-(AE$24-3-$I210))/6*1/3, TRUE, 0)) *
IF(ISNUMBER(SEARCH("Ordinance",$L210)),7/6,1) *
IF(OR(ISNUMBER(SEARCH("Melee",$L210)),ISNUMBER(SEARCH("Bypass",$L210))),1.5,1)</f>
        <v>0</v>
      </c>
      <c r="AF210" s="17" cm="1">
        <f t="array" ref="AF210">$H210 *
IF(ISNUMBER(SEARCH("Rapid",$L210)),7/6,1) *
IF(OR(ISNUMBER(SEARCH("Beam",$L210)),ISNUMBER(SEARCH("Firestorm",$L210))),1, IF(ISNUMBER(SEARCH("Blast",$L210)),(4+$F210+(2-$F210)*0.5)/6*2,(4+$F210)/6)) *
IF(ISNUMBER(SEARCH("Fusion",$L210)), _xlfn.IFS(AF$24-$I210 &lt;=1, 9/10, AF$24-$I210 &lt;=10,(11-(AF$24-$I210))/10, AF$24-$I210 &gt;=11, 0),
_xlfn.IFS(AF$24-$I210 &lt;=1, 5/6, AF$24-$I210 &lt;=5, (7-(AF$24-$I210))/6, AND(AF$24-$I210 =6,NOT(_xlfn.IFNA(ISNUMBER(SEARCH("Rending",$L210)),FALSE))), (7-(AF$24-$I210))/6, AND(AF$24-$I210 &gt;=7,NOT(_xlfn.IFNA(ISNUMBER(SEARCH("Rending",$L210)),FALSE))), 0, AF$24-$I210 =7, (7-(AF$24-1-$I210))/6, AF$24-$I210 =8, (7-(AF$24-2-$I210))/6*2/3, AF$24-$I210 =9, (7-(AF$24-3-$I210))/6*1/3, TRUE, 0)) *
IF(ISNUMBER(SEARCH("Ordinance",$L210)),7/6,1) *
IF(OR(ISNUMBER(SEARCH("Melee",$L210)),ISNUMBER(SEARCH("Bypass",$L210))),1.5,1)</f>
        <v>0</v>
      </c>
      <c r="AG210" s="16">
        <f t="shared" ref="AG210:AG255" si="67">IF(OR(ISNUMBER(SEARCH("Melee",$L210)),ISNUMBER(SEARCH("Bypass",$L210))),0, (($H210 *IF(ISNUMBER(SEARCH("Rapid",$L210)),7/6,1)*IF(OR(ISNUMBER(SEARCH("Beam",$L210)),ISNUMBER(SEARCH("Firestorm",$L210))),1, IF(ISNUMBER(SEARCH("Blast",$L210)),(4+$G210+(2-$G210)*0.5)/6*2,(4+$G210)/6)))+IF(ISNUMBER(SEARCH("Voidbreaker", $L210)),1.89,0)) *IF(ISNUMBER(SEARCH("Shieldbane", $L210)),3/6,2/6))</f>
        <v>1</v>
      </c>
      <c r="AH210" s="16">
        <f t="shared" ref="AH210:AH255" si="68">IF(OR(ISNUMBER(SEARCH("Melee",$L210)),ISNUMBER(SEARCH("Bypass",$L210))),0, (($H210 *IF(ISNUMBER(SEARCH("Rapid",$L210)),7/6,1)*IF(OR(ISNUMBER(SEARCH("Beam",$L210)),ISNUMBER(SEARCH("Firestorm",$L210))),1, IF(ISNUMBER(SEARCH("Blast",$L210)),(4+$G210+(2-$G210)*0.5)/6*2,(4+$G210)/6)))+IF(ISNUMBER(SEARCH("Voidbreaker", $L210)),1.89,0)) *IF(ISNUMBER(SEARCH("Shieldbane", $L210)),4/6,3/6))</f>
        <v>1.3333333333333333</v>
      </c>
      <c r="AI210" s="17" cm="1">
        <f t="array" ref="AI210">$H210 *
IF(ISNUMBER(SEARCH("Rapid",$L210)),7/6,1) *
IF(OR(ISNUMBER(SEARCH("Beam",$L210)),ISNUMBER(SEARCH("Firestorm",$L210))),1, IF(ISNUMBER(SEARCH("Blast",$L210)),(4+$G210+(2-$G210)*0.5)/6*2,(4+$G210)/6)) *
_xlfn.IFS(AI$24-$I210 &lt;=1, 5/6, AI$24-$I210 &lt;=5, (7-(AI$24-$I210))/6, AND(AI$24-$I210 =6,NOT(_xlfn.IFNA(ISNUMBER(SEARCH("Rending",$L210)),FALSE))), (7-(AI$24-$I210))/6, AND(AI$24-$I210 &gt;=7,NOT(_xlfn.IFNA(ISNUMBER(SEARCH("Rending",$L210)),FALSE))), 0, AI$24-$I210 =7, (7-(AI$24-1-$I210))/6, AI$24-$I210 =8, (7-(AI$24-2-$I210))/6*2/3, AI$24-$I210 =9, (7-(AI$24-3-$I210))/6*1/3, TRUE, 0) *
IF(ISNUMBER(SEARCH("Ordinance",$L210)),7/6,1) *
IF(OR(ISNUMBER(SEARCH("Melee",$L210)),ISNUMBER(SEARCH("Bypass",$L210))),1.5,1)</f>
        <v>1.6666666666666667</v>
      </c>
      <c r="AJ210" s="17" cm="1">
        <f t="array" ref="AJ210">$H210 *
IF(ISNUMBER(SEARCH("Rapid",$L210)),7/6,1) *
IF(OR(ISNUMBER(SEARCH("Beam",$L210)),ISNUMBER(SEARCH("Firestorm",$L210))),1, IF(ISNUMBER(SEARCH("Blast",$L210)),(4+$G210+(2-$G210)*0.5)/6*2,(4+$G210)/6)) *
_xlfn.IFS(AJ$24-$I210 &lt;=1, 5/6, AJ$24-$I210 &lt;=5, (7-(AJ$24-$I210))/6, AND(AJ$24-$I210 =6,NOT(_xlfn.IFNA(ISNUMBER(SEARCH("Rending",$L210)),FALSE))), (7-(AJ$24-$I210))/6, AND(AJ$24-$I210 &gt;=7,NOT(_xlfn.IFNA(ISNUMBER(SEARCH("Rending",$L210)),FALSE))), 0, AJ$24-$I210 =7, (7-(AJ$24-1-$I210))/6, AJ$24-$I210 =8, (7-(AJ$24-2-$I210))/6*2/3, AJ$24-$I210 =9, (7-(AJ$24-3-$I210))/6*1/3, TRUE, 0) *
IF(ISNUMBER(SEARCH("Ordinance",$L210)),7/6,1) *
IF(OR(ISNUMBER(SEARCH("Melee",$L210)),ISNUMBER(SEARCH("Bypass",$L210))),1.5,1)</f>
        <v>1.6666666666666667</v>
      </c>
      <c r="AK210" s="17" cm="1">
        <f t="array" ref="AK210">$H210 *
IF(ISNUMBER(SEARCH("Rapid",$L210)),7/6,1) *
IF(OR(ISNUMBER(SEARCH("Beam",$L210)),ISNUMBER(SEARCH("Firestorm",$L210))),1, IF(ISNUMBER(SEARCH("Blast",$L210)),(4+$G210+(2-$G210)*0.5)/6*2,(4+$G210)/6)) *
_xlfn.IFS(AK$24-$I210 &lt;=1, 5/6, AK$24-$I210 &lt;=5, (7-(AK$24-$I210))/6, AND(AK$24-$I210 =6,NOT(_xlfn.IFNA(ISNUMBER(SEARCH("Rending",$L210)),FALSE))), (7-(AK$24-$I210))/6, AND(AK$24-$I210 &gt;=7,NOT(_xlfn.IFNA(ISNUMBER(SEARCH("Rending",$L210)),FALSE))), 0, AK$24-$I210 =7, (7-(AK$24-1-$I210))/6, AK$24-$I210 =8, (7-(AK$24-2-$I210))/6*2/3, AK$24-$I210 =9, (7-(AK$24-3-$I210))/6*1/3, TRUE, 0) *
IF(ISNUMBER(SEARCH("Ordinance",$L210)),7/6,1) *
IF(OR(ISNUMBER(SEARCH("Melee",$L210)),ISNUMBER(SEARCH("Bypass",$L210))),1.5,1)</f>
        <v>1.6666666666666667</v>
      </c>
      <c r="AL210" s="17" cm="1">
        <f t="array" ref="AL210">$H210 *
IF(ISNUMBER(SEARCH("Rapid",$L210)),7/6,1) *
IF(OR(ISNUMBER(SEARCH("Beam",$L210)),ISNUMBER(SEARCH("Firestorm",$L210))),1, IF(ISNUMBER(SEARCH("Blast",$L210)),(4+$G210+(2-$G210)*0.5)/6*2,(4+$G210)/6)) *
_xlfn.IFS(AL$24-$I210 &lt;=1, 5/6, AL$24-$I210 &lt;=5, (7-(AL$24-$I210))/6, AND(AL$24-$I210 =6,NOT(_xlfn.IFNA(ISNUMBER(SEARCH("Rending",$L210)),FALSE))), (7-(AL$24-$I210))/6, AND(AL$24-$I210 &gt;=7,NOT(_xlfn.IFNA(ISNUMBER(SEARCH("Rending",$L210)),FALSE))), 0, AL$24-$I210 =7, (7-(AL$24-1-$I210))/6, AL$24-$I210 =8, (7-(AL$24-2-$I210))/6*2/3, AL$24-$I210 =9, (7-(AL$24-3-$I210))/6*1/3, TRUE, 0) *
IF(ISNUMBER(SEARCH("Ordinance",$L210)),7/6,1) *
IF(OR(ISNUMBER(SEARCH("Melee",$L210)),ISNUMBER(SEARCH("Bypass",$L210))),1.5,1)</f>
        <v>1.3333333333333333</v>
      </c>
      <c r="AM210" s="17" cm="1">
        <f t="array" ref="AM210">$H210 *
IF(ISNUMBER(SEARCH("Rapid",$L210)),7/6,1) *
IF(OR(ISNUMBER(SEARCH("Beam",$L210)),ISNUMBER(SEARCH("Firestorm",$L210))),1, IF(ISNUMBER(SEARCH("Blast",$L210)),(4+$G210+(2-$G210)*0.5)/6*2,(4+$G210)/6)) *
_xlfn.IFS(AM$24-$I210 &lt;=1, 5/6, AM$24-$I210 &lt;=5, (7-(AM$24-$I210))/6, AND(AM$24-$I210 =6,NOT(_xlfn.IFNA(ISNUMBER(SEARCH("Rending",$L210)),FALSE))), (7-(AM$24-$I210))/6, AND(AM$24-$I210 &gt;=7,NOT(_xlfn.IFNA(ISNUMBER(SEARCH("Rending",$L210)),FALSE))), 0, AM$24-$I210 =7, (7-(AM$24-1-$I210))/6, AM$24-$I210 =8, (7-(AM$24-2-$I210))/6*2/3, AM$24-$I210 =9, (7-(AM$24-3-$I210))/6*1/3, TRUE, 0) *
IF(ISNUMBER(SEARCH("Ordinance",$L210)),7/6,1) *
IF(OR(ISNUMBER(SEARCH("Melee",$L210)),ISNUMBER(SEARCH("Bypass",$L210))),1.5,1)</f>
        <v>1</v>
      </c>
      <c r="AN210" s="17" cm="1">
        <f t="array" ref="AN210">$H210 *
IF(ISNUMBER(SEARCH("Rapid",$L210)),7/6,1) *
IF(OR(ISNUMBER(SEARCH("Beam",$L210)),ISNUMBER(SEARCH("Firestorm",$L210))),1, IF(ISNUMBER(SEARCH("Blast",$L210)),(4+$G210+(2-$G210)*0.5)/6*2,(4+$G210)/6)) *
_xlfn.IFS(AN$24-$I210 &lt;=1, 5/6, AN$24-$I210 &lt;=5, (7-(AN$24-$I210))/6, AND(AN$24-$I210 =6,NOT(_xlfn.IFNA(ISNUMBER(SEARCH("Rending",$L210)),FALSE))), (7-(AN$24-$I210))/6, AND(AN$24-$I210 &gt;=7,NOT(_xlfn.IFNA(ISNUMBER(SEARCH("Rending",$L210)),FALSE))), 0, AN$24-$I210 =7, (7-(AN$24-1-$I210))/6, AN$24-$I210 =8, (7-(AN$24-2-$I210))/6*2/3, AN$24-$I210 =9, (7-(AN$24-3-$I210))/6*1/3, TRUE, 0) *
IF(ISNUMBER(SEARCH("Ordinance",$L210)),7/6,1) *
IF(OR(ISNUMBER(SEARCH("Melee",$L210)),ISNUMBER(SEARCH("Bypass",$L210))),1.5,1)</f>
        <v>0.66666666666666663</v>
      </c>
      <c r="AO210" s="17" cm="1">
        <f t="array" ref="AO210">$H210 *
IF(ISNUMBER(SEARCH("Rapid",$L210)),7/6,1) *
IF(OR(ISNUMBER(SEARCH("Beam",$L210)),ISNUMBER(SEARCH("Firestorm",$L210))),1, IF(ISNUMBER(SEARCH("Blast",$L210)),(4+$G210+(2-$G210)*0.5)/6*2,(4+$G210)/6)) *
_xlfn.IFS(AO$24-$I210 &lt;=1, 5/6, AO$24-$I210 &lt;=5, (7-(AO$24-$I210))/6, AND(AO$24-$I210 =6,NOT(_xlfn.IFNA(ISNUMBER(SEARCH("Rending",$L210)),FALSE))), (7-(AO$24-$I210))/6, AND(AO$24-$I210 &gt;=7,NOT(_xlfn.IFNA(ISNUMBER(SEARCH("Rending",$L210)),FALSE))), 0, AO$24-$I210 =7, (7-(AO$24-1-$I210))/6, AO$24-$I210 =8, (7-(AO$24-2-$I210))/6*2/3, AO$24-$I210 =9, (7-(AO$24-3-$I210))/6*1/3, TRUE, 0) *
IF(ISNUMBER(SEARCH("Ordinance",$L210)),7/6,1) *
IF(OR(ISNUMBER(SEARCH("Melee",$L210)),ISNUMBER(SEARCH("Bypass",$L210))),1.5,1)</f>
        <v>0.33333333333333331</v>
      </c>
      <c r="AP210" s="17" cm="1">
        <f t="array" ref="AP210">$H210 *
IF(ISNUMBER(SEARCH("Rapid",$L210)),7/6,1) *
IF(OR(ISNUMBER(SEARCH("Beam",$L210)),ISNUMBER(SEARCH("Firestorm",$L210))),1, IF(ISNUMBER(SEARCH("Blast",$L210)),(4+$G210+(2-$G210)*0.5)/6*2,(4+$G210)/6)) *
_xlfn.IFS(AP$24-$I210 &lt;=1, 5/6, AP$24-$I210 &lt;=5, (7-(AP$24-$I210))/6, AND(AP$24-$I210 =6,NOT(_xlfn.IFNA(ISNUMBER(SEARCH("Rending",$L210)),FALSE))), (7-(AP$24-$I210))/6, AND(AP$24-$I210 &gt;=7,NOT(_xlfn.IFNA(ISNUMBER(SEARCH("Rending",$L210)),FALSE))), 0, AP$24-$I210 =7, (7-(AP$24-1-$I210))/6, AP$24-$I210 =8, (7-(AP$24-2-$I210))/6*2/3, AP$24-$I210 =9, (7-(AP$24-3-$I210))/6*1/3, TRUE, 0) *
IF(ISNUMBER(SEARCH("Ordinance",$L210)),7/6,1) *
IF(OR(ISNUMBER(SEARCH("Melee",$L210)),ISNUMBER(SEARCH("Bypass",$L210))),1.5,1)</f>
        <v>0</v>
      </c>
      <c r="AQ210" s="17" cm="1">
        <f t="array" ref="AQ210">$H210 *
IF(ISNUMBER(SEARCH("Rapid",$L210)),7/6,1) *
IF(OR(ISNUMBER(SEARCH("Beam",$L210)),ISNUMBER(SEARCH("Firestorm",$L210))),1, IF(ISNUMBER(SEARCH("Blast",$L210)),(4+$G210+(2-$G210)*0.5)/6*2,(4+$G210)/6)) *
_xlfn.IFS(AQ$24-$I210 &lt;=1, 5/6, AQ$24-$I210 &lt;=5, (7-(AQ$24-$I210))/6, AND(AQ$24-$I210 =6,NOT(_xlfn.IFNA(ISNUMBER(SEARCH("Rending",$L210)),FALSE))), (7-(AQ$24-$I210))/6, AND(AQ$24-$I210 &gt;=7,NOT(_xlfn.IFNA(ISNUMBER(SEARCH("Rending",$L210)),FALSE))), 0, AQ$24-$I210 =7, (7-(AQ$24-1-$I210))/6, AQ$24-$I210 =8, (7-(AQ$24-2-$I210))/6*2/3, AQ$24-$I210 =9, (7-(AQ$24-3-$I210))/6*1/3, TRUE, 0) *
IF(ISNUMBER(SEARCH("Ordinance",$L210)),7/6,1) *
IF(OR(ISNUMBER(SEARCH("Melee",$L210)),ISNUMBER(SEARCH("Bypass",$L210))),1.5,1)</f>
        <v>0</v>
      </c>
      <c r="AS210" s="16">
        <f t="shared" si="60"/>
        <v>1</v>
      </c>
      <c r="AT210" s="16">
        <f t="shared" si="60"/>
        <v>1.3333333333333333</v>
      </c>
      <c r="AU210" s="16">
        <f>IF(D210+E210=3,
 IF(E210=3, 2.5*AI210,
  IF(E210=2, 1.8*AI210+0.7*X210,
   IF(E210=1, 0.95*AI210+1.55*X210,
    2.5*X210))),
 IF(D210+E210=2,
  IF(E210=2, 1.55*AI210,
   IF(E210 =1, 0.85*AI210+0.7*X210,
    1.55*X210)),
  IF(E210=1, 0.95*AI210,
   0.7*X210))
)/3</f>
        <v>1.3888888888888891</v>
      </c>
      <c r="AV210" s="2">
        <v>11</v>
      </c>
    </row>
    <row r="211" spans="1:48" x14ac:dyDescent="0.3">
      <c r="A211" t="str">
        <f>'40K9_Stats'!O19</f>
        <v>Voidstorm ML</v>
      </c>
      <c r="B211" s="3">
        <v>8</v>
      </c>
      <c r="C211" s="3">
        <v>48</v>
      </c>
      <c r="D211" s="3">
        <v>0</v>
      </c>
      <c r="E211" s="3">
        <v>3</v>
      </c>
      <c r="F211" s="10"/>
      <c r="G211" s="10">
        <v>1</v>
      </c>
      <c r="H211" s="3">
        <v>6</v>
      </c>
      <c r="I211" s="3">
        <v>6</v>
      </c>
      <c r="J211" s="3" t="s">
        <v>549</v>
      </c>
      <c r="K211" s="3">
        <v>25</v>
      </c>
      <c r="L211" s="3" t="s">
        <v>258</v>
      </c>
      <c r="M211" s="3" t="s">
        <v>199</v>
      </c>
      <c r="N211" s="3">
        <v>11</v>
      </c>
      <c r="O211" s="3">
        <v>11</v>
      </c>
      <c r="P211" s="3">
        <v>15</v>
      </c>
      <c r="Q211" s="3" t="s">
        <v>200</v>
      </c>
      <c r="R211" s="3">
        <v>7</v>
      </c>
      <c r="S211" s="3">
        <v>9</v>
      </c>
      <c r="T211" s="3">
        <v>4</v>
      </c>
      <c r="V211" s="16">
        <f t="shared" si="65"/>
        <v>1.3333333333333333</v>
      </c>
      <c r="W211" s="16">
        <f t="shared" si="66"/>
        <v>2</v>
      </c>
      <c r="X211" s="17" cm="1">
        <f t="array" ref="X211">$H211 *
IF(ISNUMBER(SEARCH("Rapid",$L211)),7/6,1) *
IF(OR(ISNUMBER(SEARCH("Beam",$L211)),ISNUMBER(SEARCH("Firestorm",$L211))),1, IF(ISNUMBER(SEARCH("Blast",$L211)),(4+$F211+(2-$F211)*0.5)/6*2,(4+$F211)/6)) *
IF(ISNUMBER(SEARCH("Fusion",$L211)), _xlfn.IFS(X$24-$I211 &lt;=1, 9/10, X$24-$I211 &lt;=10,(11-(X$24-$I211))/10, X$24-$I211 &gt;=11, 0),
_xlfn.IFS(X$24-$I211 &lt;=1, 5/6, X$24-$I211 &lt;=5, (7-(X$24-$I211))/6, AND(X$24-$I211 =6,NOT(_xlfn.IFNA(ISNUMBER(SEARCH("Rending",$L211)),FALSE))), (7-(X$24-$I211))/6, AND(X$24-$I211 &gt;=7,NOT(_xlfn.IFNA(ISNUMBER(SEARCH("Rending",$L211)),FALSE))), 0, X$24-$I211 =7, (7-(X$24-1-$I211))/6, X$24-$I211 =8, (7-(X$24-2-$I211))/6*2/3, X$24-$I211 =9, (7-(X$24-3-$I211))/6*1/3, TRUE, 0)) *
IF(ISNUMBER(SEARCH("Ordinance",$L211)),7/6,1) *
IF(OR(ISNUMBER(SEARCH("Melee",$L211)),ISNUMBER(SEARCH("Bypass",$L211))),1.5,1)</f>
        <v>2.6666666666666665</v>
      </c>
      <c r="Y211" s="17" cm="1">
        <f t="array" ref="Y211">$H211 *
IF(ISNUMBER(SEARCH("Rapid",$L211)),7/6,1) *
IF(OR(ISNUMBER(SEARCH("Beam",$L211)),ISNUMBER(SEARCH("Firestorm",$L211))),1, IF(ISNUMBER(SEARCH("Blast",$L211)),(4+$F211+(2-$F211)*0.5)/6*2,(4+$F211)/6)) *
IF(ISNUMBER(SEARCH("Fusion",$L211)), _xlfn.IFS(Y$24-$I211 &lt;=1, 9/10, Y$24-$I211 &lt;=10,(11-(Y$24-$I211))/10, Y$24-$I211 &gt;=11, 0),
_xlfn.IFS(Y$24-$I211 &lt;=1, 5/6, Y$24-$I211 &lt;=5, (7-(Y$24-$I211))/6, AND(Y$24-$I211 =6,NOT(_xlfn.IFNA(ISNUMBER(SEARCH("Rending",$L211)),FALSE))), (7-(Y$24-$I211))/6, AND(Y$24-$I211 &gt;=7,NOT(_xlfn.IFNA(ISNUMBER(SEARCH("Rending",$L211)),FALSE))), 0, Y$24-$I211 =7, (7-(Y$24-1-$I211))/6, Y$24-$I211 =8, (7-(Y$24-2-$I211))/6*2/3, Y$24-$I211 =9, (7-(Y$24-3-$I211))/6*1/3, TRUE, 0)) *
IF(ISNUMBER(SEARCH("Ordinance",$L211)),7/6,1) *
IF(OR(ISNUMBER(SEARCH("Melee",$L211)),ISNUMBER(SEARCH("Bypass",$L211))),1.5,1)</f>
        <v>2</v>
      </c>
      <c r="Z211" s="17" cm="1">
        <f t="array" ref="Z211">$H211 *
IF(ISNUMBER(SEARCH("Rapid",$L211)),7/6,1) *
IF(OR(ISNUMBER(SEARCH("Beam",$L211)),ISNUMBER(SEARCH("Firestorm",$L211))),1, IF(ISNUMBER(SEARCH("Blast",$L211)),(4+$F211+(2-$F211)*0.5)/6*2,(4+$F211)/6)) *
IF(ISNUMBER(SEARCH("Fusion",$L211)), _xlfn.IFS(Z$24-$I211 &lt;=1, 9/10, Z$24-$I211 &lt;=10,(11-(Z$24-$I211))/10, Z$24-$I211 &gt;=11, 0),
_xlfn.IFS(Z$24-$I211 &lt;=1, 5/6, Z$24-$I211 &lt;=5, (7-(Z$24-$I211))/6, AND(Z$24-$I211 =6,NOT(_xlfn.IFNA(ISNUMBER(SEARCH("Rending",$L211)),FALSE))), (7-(Z$24-$I211))/6, AND(Z$24-$I211 &gt;=7,NOT(_xlfn.IFNA(ISNUMBER(SEARCH("Rending",$L211)),FALSE))), 0, Z$24-$I211 =7, (7-(Z$24-1-$I211))/6, Z$24-$I211 =8, (7-(Z$24-2-$I211))/6*2/3, Z$24-$I211 =9, (7-(Z$24-3-$I211))/6*1/3, TRUE, 0)) *
IF(ISNUMBER(SEARCH("Ordinance",$L211)),7/6,1) *
IF(OR(ISNUMBER(SEARCH("Melee",$L211)),ISNUMBER(SEARCH("Bypass",$L211))),1.5,1)</f>
        <v>1.3333333333333333</v>
      </c>
      <c r="AA211" s="17" cm="1">
        <f t="array" ref="AA211">$H211 *
IF(ISNUMBER(SEARCH("Rapid",$L211)),7/6,1) *
IF(OR(ISNUMBER(SEARCH("Beam",$L211)),ISNUMBER(SEARCH("Firestorm",$L211))),1, IF(ISNUMBER(SEARCH("Blast",$L211)),(4+$F211+(2-$F211)*0.5)/6*2,(4+$F211)/6)) *
IF(ISNUMBER(SEARCH("Fusion",$L211)), _xlfn.IFS(AA$24-$I211 &lt;=1, 9/10, AA$24-$I211 &lt;=10,(11-(AA$24-$I211))/10, AA$24-$I211 &gt;=11, 0),
_xlfn.IFS(AA$24-$I211 &lt;=1, 5/6, AA$24-$I211 &lt;=5, (7-(AA$24-$I211))/6, AND(AA$24-$I211 =6,NOT(_xlfn.IFNA(ISNUMBER(SEARCH("Rending",$L211)),FALSE))), (7-(AA$24-$I211))/6, AND(AA$24-$I211 &gt;=7,NOT(_xlfn.IFNA(ISNUMBER(SEARCH("Rending",$L211)),FALSE))), 0, AA$24-$I211 =7, (7-(AA$24-1-$I211))/6, AA$24-$I211 =8, (7-(AA$24-2-$I211))/6*2/3, AA$24-$I211 =9, (7-(AA$24-3-$I211))/6*1/3, TRUE, 0)) *
IF(ISNUMBER(SEARCH("Ordinance",$L211)),7/6,1) *
IF(OR(ISNUMBER(SEARCH("Melee",$L211)),ISNUMBER(SEARCH("Bypass",$L211))),1.5,1)</f>
        <v>0.66666666666666663</v>
      </c>
      <c r="AB211" s="17" cm="1">
        <f t="array" ref="AB211">$H211 *
IF(ISNUMBER(SEARCH("Rapid",$L211)),7/6,1) *
IF(OR(ISNUMBER(SEARCH("Beam",$L211)),ISNUMBER(SEARCH("Firestorm",$L211))),1, IF(ISNUMBER(SEARCH("Blast",$L211)),(4+$F211+(2-$F211)*0.5)/6*2,(4+$F211)/6)) *
IF(ISNUMBER(SEARCH("Fusion",$L211)), _xlfn.IFS(AB$24-$I211 &lt;=1, 9/10, AB$24-$I211 &lt;=10,(11-(AB$24-$I211))/10, AB$24-$I211 &gt;=11, 0),
_xlfn.IFS(AB$24-$I211 &lt;=1, 5/6, AB$24-$I211 &lt;=5, (7-(AB$24-$I211))/6, AND(AB$24-$I211 =6,NOT(_xlfn.IFNA(ISNUMBER(SEARCH("Rending",$L211)),FALSE))), (7-(AB$24-$I211))/6, AND(AB$24-$I211 &gt;=7,NOT(_xlfn.IFNA(ISNUMBER(SEARCH("Rending",$L211)),FALSE))), 0, AB$24-$I211 =7, (7-(AB$24-1-$I211))/6, AB$24-$I211 =8, (7-(AB$24-2-$I211))/6*2/3, AB$24-$I211 =9, (7-(AB$24-3-$I211))/6*1/3, TRUE, 0)) *
IF(ISNUMBER(SEARCH("Ordinance",$L211)),7/6,1) *
IF(OR(ISNUMBER(SEARCH("Melee",$L211)),ISNUMBER(SEARCH("Bypass",$L211))),1.5,1)</f>
        <v>0</v>
      </c>
      <c r="AC211" s="17" cm="1">
        <f t="array" ref="AC211">$H211 *
IF(ISNUMBER(SEARCH("Rapid",$L211)),7/6,1) *
IF(OR(ISNUMBER(SEARCH("Beam",$L211)),ISNUMBER(SEARCH("Firestorm",$L211))),1, IF(ISNUMBER(SEARCH("Blast",$L211)),(4+$F211+(2-$F211)*0.5)/6*2,(4+$F211)/6)) *
IF(ISNUMBER(SEARCH("Fusion",$L211)), _xlfn.IFS(AC$24-$I211 &lt;=1, 9/10, AC$24-$I211 &lt;=10,(11-(AC$24-$I211))/10, AC$24-$I211 &gt;=11, 0),
_xlfn.IFS(AC$24-$I211 &lt;=1, 5/6, AC$24-$I211 &lt;=5, (7-(AC$24-$I211))/6, AND(AC$24-$I211 =6,NOT(_xlfn.IFNA(ISNUMBER(SEARCH("Rending",$L211)),FALSE))), (7-(AC$24-$I211))/6, AND(AC$24-$I211 &gt;=7,NOT(_xlfn.IFNA(ISNUMBER(SEARCH("Rending",$L211)),FALSE))), 0, AC$24-$I211 =7, (7-(AC$24-1-$I211))/6, AC$24-$I211 =8, (7-(AC$24-2-$I211))/6*2/3, AC$24-$I211 =9, (7-(AC$24-3-$I211))/6*1/3, TRUE, 0)) *
IF(ISNUMBER(SEARCH("Ordinance",$L211)),7/6,1) *
IF(OR(ISNUMBER(SEARCH("Melee",$L211)),ISNUMBER(SEARCH("Bypass",$L211))),1.5,1)</f>
        <v>0</v>
      </c>
      <c r="AD211" s="17" cm="1">
        <f t="array" ref="AD211">$H211 *
IF(ISNUMBER(SEARCH("Rapid",$L211)),7/6,1) *
IF(OR(ISNUMBER(SEARCH("Beam",$L211)),ISNUMBER(SEARCH("Firestorm",$L211))),1, IF(ISNUMBER(SEARCH("Blast",$L211)),(4+$F211+(2-$F211)*0.5)/6*2,(4+$F211)/6)) *
IF(ISNUMBER(SEARCH("Fusion",$L211)), _xlfn.IFS(AD$24-$I211 &lt;=1, 9/10, AD$24-$I211 &lt;=10,(11-(AD$24-$I211))/10, AD$24-$I211 &gt;=11, 0),
_xlfn.IFS(AD$24-$I211 &lt;=1, 5/6, AD$24-$I211 &lt;=5, (7-(AD$24-$I211))/6, AND(AD$24-$I211 =6,NOT(_xlfn.IFNA(ISNUMBER(SEARCH("Rending",$L211)),FALSE))), (7-(AD$24-$I211))/6, AND(AD$24-$I211 &gt;=7,NOT(_xlfn.IFNA(ISNUMBER(SEARCH("Rending",$L211)),FALSE))), 0, AD$24-$I211 =7, (7-(AD$24-1-$I211))/6, AD$24-$I211 =8, (7-(AD$24-2-$I211))/6*2/3, AD$24-$I211 =9, (7-(AD$24-3-$I211))/6*1/3, TRUE, 0)) *
IF(ISNUMBER(SEARCH("Ordinance",$L211)),7/6,1) *
IF(OR(ISNUMBER(SEARCH("Melee",$L211)),ISNUMBER(SEARCH("Bypass",$L211))),1.5,1)</f>
        <v>0</v>
      </c>
      <c r="AE211" s="17" cm="1">
        <f t="array" ref="AE211">$H211 *
IF(ISNUMBER(SEARCH("Rapid",$L211)),7/6,1) *
IF(OR(ISNUMBER(SEARCH("Beam",$L211)),ISNUMBER(SEARCH("Firestorm",$L211))),1, IF(ISNUMBER(SEARCH("Blast",$L211)),(4+$F211+(2-$F211)*0.5)/6*2,(4+$F211)/6)) *
IF(ISNUMBER(SEARCH("Fusion",$L211)), _xlfn.IFS(AE$24-$I211 &lt;=1, 9/10, AE$24-$I211 &lt;=10,(11-(AE$24-$I211))/10, AE$24-$I211 &gt;=11, 0),
_xlfn.IFS(AE$24-$I211 &lt;=1, 5/6, AE$24-$I211 &lt;=5, (7-(AE$24-$I211))/6, AND(AE$24-$I211 =6,NOT(_xlfn.IFNA(ISNUMBER(SEARCH("Rending",$L211)),FALSE))), (7-(AE$24-$I211))/6, AND(AE$24-$I211 &gt;=7,NOT(_xlfn.IFNA(ISNUMBER(SEARCH("Rending",$L211)),FALSE))), 0, AE$24-$I211 =7, (7-(AE$24-1-$I211))/6, AE$24-$I211 =8, (7-(AE$24-2-$I211))/6*2/3, AE$24-$I211 =9, (7-(AE$24-3-$I211))/6*1/3, TRUE, 0)) *
IF(ISNUMBER(SEARCH("Ordinance",$L211)),7/6,1) *
IF(OR(ISNUMBER(SEARCH("Melee",$L211)),ISNUMBER(SEARCH("Bypass",$L211))),1.5,1)</f>
        <v>0</v>
      </c>
      <c r="AF211" s="17" cm="1">
        <f t="array" ref="AF211">$H211 *
IF(ISNUMBER(SEARCH("Rapid",$L211)),7/6,1) *
IF(OR(ISNUMBER(SEARCH("Beam",$L211)),ISNUMBER(SEARCH("Firestorm",$L211))),1, IF(ISNUMBER(SEARCH("Blast",$L211)),(4+$F211+(2-$F211)*0.5)/6*2,(4+$F211)/6)) *
IF(ISNUMBER(SEARCH("Fusion",$L211)), _xlfn.IFS(AF$24-$I211 &lt;=1, 9/10, AF$24-$I211 &lt;=10,(11-(AF$24-$I211))/10, AF$24-$I211 &gt;=11, 0),
_xlfn.IFS(AF$24-$I211 &lt;=1, 5/6, AF$24-$I211 &lt;=5, (7-(AF$24-$I211))/6, AND(AF$24-$I211 =6,NOT(_xlfn.IFNA(ISNUMBER(SEARCH("Rending",$L211)),FALSE))), (7-(AF$24-$I211))/6, AND(AF$24-$I211 &gt;=7,NOT(_xlfn.IFNA(ISNUMBER(SEARCH("Rending",$L211)),FALSE))), 0, AF$24-$I211 =7, (7-(AF$24-1-$I211))/6, AF$24-$I211 =8, (7-(AF$24-2-$I211))/6*2/3, AF$24-$I211 =9, (7-(AF$24-3-$I211))/6*1/3, TRUE, 0)) *
IF(ISNUMBER(SEARCH("Ordinance",$L211)),7/6,1) *
IF(OR(ISNUMBER(SEARCH("Melee",$L211)),ISNUMBER(SEARCH("Bypass",$L211))),1.5,1)</f>
        <v>0</v>
      </c>
      <c r="AG211" s="16">
        <f t="shared" si="67"/>
        <v>1.6666666666666665</v>
      </c>
      <c r="AH211" s="16">
        <f t="shared" si="68"/>
        <v>2.5</v>
      </c>
      <c r="AI211" s="17" cm="1">
        <f t="array" ref="AI211">$H211 *
IF(ISNUMBER(SEARCH("Rapid",$L211)),7/6,1) *
IF(OR(ISNUMBER(SEARCH("Beam",$L211)),ISNUMBER(SEARCH("Firestorm",$L211))),1, IF(ISNUMBER(SEARCH("Blast",$L211)),(4+$G211+(2-$G211)*0.5)/6*2,(4+$G211)/6)) *
_xlfn.IFS(AI$24-$I211 &lt;=1, 5/6, AI$24-$I211 &lt;=5, (7-(AI$24-$I211))/6, AND(AI$24-$I211 =6,NOT(_xlfn.IFNA(ISNUMBER(SEARCH("Rending",$L211)),FALSE))), (7-(AI$24-$I211))/6, AND(AI$24-$I211 &gt;=7,NOT(_xlfn.IFNA(ISNUMBER(SEARCH("Rending",$L211)),FALSE))), 0, AI$24-$I211 =7, (7-(AI$24-1-$I211))/6, AI$24-$I211 =8, (7-(AI$24-2-$I211))/6*2/3, AI$24-$I211 =9, (7-(AI$24-3-$I211))/6*1/3, TRUE, 0) *
IF(ISNUMBER(SEARCH("Ordinance",$L211)),7/6,1) *
IF(OR(ISNUMBER(SEARCH("Melee",$L211)),ISNUMBER(SEARCH("Bypass",$L211))),1.5,1)</f>
        <v>3.333333333333333</v>
      </c>
      <c r="AJ211" s="17" cm="1">
        <f t="array" ref="AJ211">$H211 *
IF(ISNUMBER(SEARCH("Rapid",$L211)),7/6,1) *
IF(OR(ISNUMBER(SEARCH("Beam",$L211)),ISNUMBER(SEARCH("Firestorm",$L211))),1, IF(ISNUMBER(SEARCH("Blast",$L211)),(4+$G211+(2-$G211)*0.5)/6*2,(4+$G211)/6)) *
_xlfn.IFS(AJ$24-$I211 &lt;=1, 5/6, AJ$24-$I211 &lt;=5, (7-(AJ$24-$I211))/6, AND(AJ$24-$I211 =6,NOT(_xlfn.IFNA(ISNUMBER(SEARCH("Rending",$L211)),FALSE))), (7-(AJ$24-$I211))/6, AND(AJ$24-$I211 &gt;=7,NOT(_xlfn.IFNA(ISNUMBER(SEARCH("Rending",$L211)),FALSE))), 0, AJ$24-$I211 =7, (7-(AJ$24-1-$I211))/6, AJ$24-$I211 =8, (7-(AJ$24-2-$I211))/6*2/3, AJ$24-$I211 =9, (7-(AJ$24-3-$I211))/6*1/3, TRUE, 0) *
IF(ISNUMBER(SEARCH("Ordinance",$L211)),7/6,1) *
IF(OR(ISNUMBER(SEARCH("Melee",$L211)),ISNUMBER(SEARCH("Bypass",$L211))),1.5,1)</f>
        <v>2.5</v>
      </c>
      <c r="AK211" s="17" cm="1">
        <f t="array" ref="AK211">$H211 *
IF(ISNUMBER(SEARCH("Rapid",$L211)),7/6,1) *
IF(OR(ISNUMBER(SEARCH("Beam",$L211)),ISNUMBER(SEARCH("Firestorm",$L211))),1, IF(ISNUMBER(SEARCH("Blast",$L211)),(4+$G211+(2-$G211)*0.5)/6*2,(4+$G211)/6)) *
_xlfn.IFS(AK$24-$I211 &lt;=1, 5/6, AK$24-$I211 &lt;=5, (7-(AK$24-$I211))/6, AND(AK$24-$I211 =6,NOT(_xlfn.IFNA(ISNUMBER(SEARCH("Rending",$L211)),FALSE))), (7-(AK$24-$I211))/6, AND(AK$24-$I211 &gt;=7,NOT(_xlfn.IFNA(ISNUMBER(SEARCH("Rending",$L211)),FALSE))), 0, AK$24-$I211 =7, (7-(AK$24-1-$I211))/6, AK$24-$I211 =8, (7-(AK$24-2-$I211))/6*2/3, AK$24-$I211 =9, (7-(AK$24-3-$I211))/6*1/3, TRUE, 0) *
IF(ISNUMBER(SEARCH("Ordinance",$L211)),7/6,1) *
IF(OR(ISNUMBER(SEARCH("Melee",$L211)),ISNUMBER(SEARCH("Bypass",$L211))),1.5,1)</f>
        <v>1.6666666666666665</v>
      </c>
      <c r="AL211" s="17" cm="1">
        <f t="array" ref="AL211">$H211 *
IF(ISNUMBER(SEARCH("Rapid",$L211)),7/6,1) *
IF(OR(ISNUMBER(SEARCH("Beam",$L211)),ISNUMBER(SEARCH("Firestorm",$L211))),1, IF(ISNUMBER(SEARCH("Blast",$L211)),(4+$G211+(2-$G211)*0.5)/6*2,(4+$G211)/6)) *
_xlfn.IFS(AL$24-$I211 &lt;=1, 5/6, AL$24-$I211 &lt;=5, (7-(AL$24-$I211))/6, AND(AL$24-$I211 =6,NOT(_xlfn.IFNA(ISNUMBER(SEARCH("Rending",$L211)),FALSE))), (7-(AL$24-$I211))/6, AND(AL$24-$I211 &gt;=7,NOT(_xlfn.IFNA(ISNUMBER(SEARCH("Rending",$L211)),FALSE))), 0, AL$24-$I211 =7, (7-(AL$24-1-$I211))/6, AL$24-$I211 =8, (7-(AL$24-2-$I211))/6*2/3, AL$24-$I211 =9, (7-(AL$24-3-$I211))/6*1/3, TRUE, 0) *
IF(ISNUMBER(SEARCH("Ordinance",$L211)),7/6,1) *
IF(OR(ISNUMBER(SEARCH("Melee",$L211)),ISNUMBER(SEARCH("Bypass",$L211))),1.5,1)</f>
        <v>0.83333333333333326</v>
      </c>
      <c r="AM211" s="17" cm="1">
        <f t="array" ref="AM211">$H211 *
IF(ISNUMBER(SEARCH("Rapid",$L211)),7/6,1) *
IF(OR(ISNUMBER(SEARCH("Beam",$L211)),ISNUMBER(SEARCH("Firestorm",$L211))),1, IF(ISNUMBER(SEARCH("Blast",$L211)),(4+$G211+(2-$G211)*0.5)/6*2,(4+$G211)/6)) *
_xlfn.IFS(AM$24-$I211 &lt;=1, 5/6, AM$24-$I211 &lt;=5, (7-(AM$24-$I211))/6, AND(AM$24-$I211 =6,NOT(_xlfn.IFNA(ISNUMBER(SEARCH("Rending",$L211)),FALSE))), (7-(AM$24-$I211))/6, AND(AM$24-$I211 &gt;=7,NOT(_xlfn.IFNA(ISNUMBER(SEARCH("Rending",$L211)),FALSE))), 0, AM$24-$I211 =7, (7-(AM$24-1-$I211))/6, AM$24-$I211 =8, (7-(AM$24-2-$I211))/6*2/3, AM$24-$I211 =9, (7-(AM$24-3-$I211))/6*1/3, TRUE, 0) *
IF(ISNUMBER(SEARCH("Ordinance",$L211)),7/6,1) *
IF(OR(ISNUMBER(SEARCH("Melee",$L211)),ISNUMBER(SEARCH("Bypass",$L211))),1.5,1)</f>
        <v>0</v>
      </c>
      <c r="AN211" s="17" cm="1">
        <f t="array" ref="AN211">$H211 *
IF(ISNUMBER(SEARCH("Rapid",$L211)),7/6,1) *
IF(OR(ISNUMBER(SEARCH("Beam",$L211)),ISNUMBER(SEARCH("Firestorm",$L211))),1, IF(ISNUMBER(SEARCH("Blast",$L211)),(4+$G211+(2-$G211)*0.5)/6*2,(4+$G211)/6)) *
_xlfn.IFS(AN$24-$I211 &lt;=1, 5/6, AN$24-$I211 &lt;=5, (7-(AN$24-$I211))/6, AND(AN$24-$I211 =6,NOT(_xlfn.IFNA(ISNUMBER(SEARCH("Rending",$L211)),FALSE))), (7-(AN$24-$I211))/6, AND(AN$24-$I211 &gt;=7,NOT(_xlfn.IFNA(ISNUMBER(SEARCH("Rending",$L211)),FALSE))), 0, AN$24-$I211 =7, (7-(AN$24-1-$I211))/6, AN$24-$I211 =8, (7-(AN$24-2-$I211))/6*2/3, AN$24-$I211 =9, (7-(AN$24-3-$I211))/6*1/3, TRUE, 0) *
IF(ISNUMBER(SEARCH("Ordinance",$L211)),7/6,1) *
IF(OR(ISNUMBER(SEARCH("Melee",$L211)),ISNUMBER(SEARCH("Bypass",$L211))),1.5,1)</f>
        <v>0</v>
      </c>
      <c r="AO211" s="17" cm="1">
        <f t="array" ref="AO211">$H211 *
IF(ISNUMBER(SEARCH("Rapid",$L211)),7/6,1) *
IF(OR(ISNUMBER(SEARCH("Beam",$L211)),ISNUMBER(SEARCH("Firestorm",$L211))),1, IF(ISNUMBER(SEARCH("Blast",$L211)),(4+$G211+(2-$G211)*0.5)/6*2,(4+$G211)/6)) *
_xlfn.IFS(AO$24-$I211 &lt;=1, 5/6, AO$24-$I211 &lt;=5, (7-(AO$24-$I211))/6, AND(AO$24-$I211 =6,NOT(_xlfn.IFNA(ISNUMBER(SEARCH("Rending",$L211)),FALSE))), (7-(AO$24-$I211))/6, AND(AO$24-$I211 &gt;=7,NOT(_xlfn.IFNA(ISNUMBER(SEARCH("Rending",$L211)),FALSE))), 0, AO$24-$I211 =7, (7-(AO$24-1-$I211))/6, AO$24-$I211 =8, (7-(AO$24-2-$I211))/6*2/3, AO$24-$I211 =9, (7-(AO$24-3-$I211))/6*1/3, TRUE, 0) *
IF(ISNUMBER(SEARCH("Ordinance",$L211)),7/6,1) *
IF(OR(ISNUMBER(SEARCH("Melee",$L211)),ISNUMBER(SEARCH("Bypass",$L211))),1.5,1)</f>
        <v>0</v>
      </c>
      <c r="AP211" s="17" cm="1">
        <f t="array" ref="AP211">$H211 *
IF(ISNUMBER(SEARCH("Rapid",$L211)),7/6,1) *
IF(OR(ISNUMBER(SEARCH("Beam",$L211)),ISNUMBER(SEARCH("Firestorm",$L211))),1, IF(ISNUMBER(SEARCH("Blast",$L211)),(4+$G211+(2-$G211)*0.5)/6*2,(4+$G211)/6)) *
_xlfn.IFS(AP$24-$I211 &lt;=1, 5/6, AP$24-$I211 &lt;=5, (7-(AP$24-$I211))/6, AND(AP$24-$I211 =6,NOT(_xlfn.IFNA(ISNUMBER(SEARCH("Rending",$L211)),FALSE))), (7-(AP$24-$I211))/6, AND(AP$24-$I211 &gt;=7,NOT(_xlfn.IFNA(ISNUMBER(SEARCH("Rending",$L211)),FALSE))), 0, AP$24-$I211 =7, (7-(AP$24-1-$I211))/6, AP$24-$I211 =8, (7-(AP$24-2-$I211))/6*2/3, AP$24-$I211 =9, (7-(AP$24-3-$I211))/6*1/3, TRUE, 0) *
IF(ISNUMBER(SEARCH("Ordinance",$L211)),7/6,1) *
IF(OR(ISNUMBER(SEARCH("Melee",$L211)),ISNUMBER(SEARCH("Bypass",$L211))),1.5,1)</f>
        <v>0</v>
      </c>
      <c r="AQ211" s="17" cm="1">
        <f t="array" ref="AQ211">$H211 *
IF(ISNUMBER(SEARCH("Rapid",$L211)),7/6,1) *
IF(OR(ISNUMBER(SEARCH("Beam",$L211)),ISNUMBER(SEARCH("Firestorm",$L211))),1, IF(ISNUMBER(SEARCH("Blast",$L211)),(4+$G211+(2-$G211)*0.5)/6*2,(4+$G211)/6)) *
_xlfn.IFS(AQ$24-$I211 &lt;=1, 5/6, AQ$24-$I211 &lt;=5, (7-(AQ$24-$I211))/6, AND(AQ$24-$I211 =6,NOT(_xlfn.IFNA(ISNUMBER(SEARCH("Rending",$L211)),FALSE))), (7-(AQ$24-$I211))/6, AND(AQ$24-$I211 &gt;=7,NOT(_xlfn.IFNA(ISNUMBER(SEARCH("Rending",$L211)),FALSE))), 0, AQ$24-$I211 =7, (7-(AQ$24-1-$I211))/6, AQ$24-$I211 =8, (7-(AQ$24-2-$I211))/6*2/3, AQ$24-$I211 =9, (7-(AQ$24-3-$I211))/6*1/3, TRUE, 0) *
IF(ISNUMBER(SEARCH("Ordinance",$L211)),7/6,1) *
IF(OR(ISNUMBER(SEARCH("Melee",$L211)),ISNUMBER(SEARCH("Bypass",$L211))),1.5,1)</f>
        <v>0</v>
      </c>
      <c r="AS211" s="16">
        <f t="shared" si="60"/>
        <v>0.61111111111111105</v>
      </c>
      <c r="AT211" s="16">
        <f t="shared" si="60"/>
        <v>0.91666666666666663</v>
      </c>
      <c r="AU211" s="16">
        <f>IF(D211+E211=3,
 IF(E211=3, 2.5*AI211,
  IF(E211=2, 1.8*AI211+0.7*X211,
   IF(E211=1, 0.95*AI211+1.55*X211,
    2.5*X211))),
 IF(D211+E211=2,
  IF(E211=2, 1.55*AI211,
   IF(E211 =1, 0.85*AI211+0.7*X211,
    1.55*X211)),
  IF(E211=1, 0.95*AI211,
   0.7*X211))
)/3</f>
        <v>2.7777777777777772</v>
      </c>
      <c r="AV211" s="2">
        <v>9</v>
      </c>
    </row>
    <row r="212" spans="1:48" s="36" customFormat="1" x14ac:dyDescent="0.3">
      <c r="A212" s="36" t="str">
        <f>'40K9_Stats'!O20</f>
        <v>Titanic Stride</v>
      </c>
      <c r="B212" s="37">
        <v>2</v>
      </c>
      <c r="C212" s="37"/>
      <c r="D212" s="37"/>
      <c r="E212" s="37"/>
      <c r="F212" s="38"/>
      <c r="G212" s="38"/>
      <c r="H212" s="37"/>
      <c r="I212" s="37"/>
      <c r="J212" s="37" t="s">
        <v>550</v>
      </c>
      <c r="K212" s="37"/>
      <c r="L212" s="37"/>
      <c r="M212" s="37"/>
      <c r="N212" s="37"/>
      <c r="O212" s="37"/>
      <c r="P212" s="37"/>
      <c r="Q212" s="37"/>
      <c r="R212" s="37"/>
      <c r="S212" s="37"/>
      <c r="T212" s="37"/>
      <c r="V212" s="16">
        <f t="shared" si="65"/>
        <v>0</v>
      </c>
      <c r="W212" s="16">
        <f t="shared" si="66"/>
        <v>0</v>
      </c>
      <c r="X212" s="17" cm="1">
        <f t="array" ref="X212">$H212 *
IF(ISNUMBER(SEARCH("Rapid",$L212)),7/6,1) *
IF(OR(ISNUMBER(SEARCH("Beam",$L212)),ISNUMBER(SEARCH("Firestorm",$L212))),1, IF(ISNUMBER(SEARCH("Blast",$L212)),(4+$F212+(2-$F212)*0.5)/6*2,(4+$F212)/6)) *
IF(ISNUMBER(SEARCH("Fusion",$L212)), _xlfn.IFS(X$24-$I212 &lt;=1, 9/10, X$24-$I212 &lt;=10,(11-(X$24-$I212))/10, X$24-$I212 &gt;=11, 0),
_xlfn.IFS(X$24-$I212 &lt;=1, 5/6, X$24-$I212 &lt;=5, (7-(X$24-$I212))/6, AND(X$24-$I212 =6,NOT(_xlfn.IFNA(ISNUMBER(SEARCH("Rending",$L212)),FALSE))), (7-(X$24-$I212))/6, AND(X$24-$I212 &gt;=7,NOT(_xlfn.IFNA(ISNUMBER(SEARCH("Rending",$L212)),FALSE))), 0, X$24-$I212 =7, (7-(X$24-1-$I212))/6, X$24-$I212 =8, (7-(X$24-2-$I212))/6*2/3, X$24-$I212 =9, (7-(X$24-3-$I212))/6*1/3, TRUE, 0)) *
IF(ISNUMBER(SEARCH("Ordinance",$L212)),7/6,1) *
IF(OR(ISNUMBER(SEARCH("Melee",$L212)),ISNUMBER(SEARCH("Bypass",$L212))),1.5,1)</f>
        <v>0</v>
      </c>
      <c r="Y212" s="17" cm="1">
        <f t="array" ref="Y212">$H212 *
IF(ISNUMBER(SEARCH("Rapid",$L212)),7/6,1) *
IF(OR(ISNUMBER(SEARCH("Beam",$L212)),ISNUMBER(SEARCH("Firestorm",$L212))),1, IF(ISNUMBER(SEARCH("Blast",$L212)),(4+$F212+(2-$F212)*0.5)/6*2,(4+$F212)/6)) *
IF(ISNUMBER(SEARCH("Fusion",$L212)), _xlfn.IFS(Y$24-$I212 &lt;=1, 9/10, Y$24-$I212 &lt;=10,(11-(Y$24-$I212))/10, Y$24-$I212 &gt;=11, 0),
_xlfn.IFS(Y$24-$I212 &lt;=1, 5/6, Y$24-$I212 &lt;=5, (7-(Y$24-$I212))/6, AND(Y$24-$I212 =6,NOT(_xlfn.IFNA(ISNUMBER(SEARCH("Rending",$L212)),FALSE))), (7-(Y$24-$I212))/6, AND(Y$24-$I212 &gt;=7,NOT(_xlfn.IFNA(ISNUMBER(SEARCH("Rending",$L212)),FALSE))), 0, Y$24-$I212 =7, (7-(Y$24-1-$I212))/6, Y$24-$I212 =8, (7-(Y$24-2-$I212))/6*2/3, Y$24-$I212 =9, (7-(Y$24-3-$I212))/6*1/3, TRUE, 0)) *
IF(ISNUMBER(SEARCH("Ordinance",$L212)),7/6,1) *
IF(OR(ISNUMBER(SEARCH("Melee",$L212)),ISNUMBER(SEARCH("Bypass",$L212))),1.5,1)</f>
        <v>0</v>
      </c>
      <c r="Z212" s="17" cm="1">
        <f t="array" ref="Z212">$H212 *
IF(ISNUMBER(SEARCH("Rapid",$L212)),7/6,1) *
IF(OR(ISNUMBER(SEARCH("Beam",$L212)),ISNUMBER(SEARCH("Firestorm",$L212))),1, IF(ISNUMBER(SEARCH("Blast",$L212)),(4+$F212+(2-$F212)*0.5)/6*2,(4+$F212)/6)) *
IF(ISNUMBER(SEARCH("Fusion",$L212)), _xlfn.IFS(Z$24-$I212 &lt;=1, 9/10, Z$24-$I212 &lt;=10,(11-(Z$24-$I212))/10, Z$24-$I212 &gt;=11, 0),
_xlfn.IFS(Z$24-$I212 &lt;=1, 5/6, Z$24-$I212 &lt;=5, (7-(Z$24-$I212))/6, AND(Z$24-$I212 =6,NOT(_xlfn.IFNA(ISNUMBER(SEARCH("Rending",$L212)),FALSE))), (7-(Z$24-$I212))/6, AND(Z$24-$I212 &gt;=7,NOT(_xlfn.IFNA(ISNUMBER(SEARCH("Rending",$L212)),FALSE))), 0, Z$24-$I212 =7, (7-(Z$24-1-$I212))/6, Z$24-$I212 =8, (7-(Z$24-2-$I212))/6*2/3, Z$24-$I212 =9, (7-(Z$24-3-$I212))/6*1/3, TRUE, 0)) *
IF(ISNUMBER(SEARCH("Ordinance",$L212)),7/6,1) *
IF(OR(ISNUMBER(SEARCH("Melee",$L212)),ISNUMBER(SEARCH("Bypass",$L212))),1.5,1)</f>
        <v>0</v>
      </c>
      <c r="AA212" s="17" cm="1">
        <f t="array" ref="AA212">$H212 *
IF(ISNUMBER(SEARCH("Rapid",$L212)),7/6,1) *
IF(OR(ISNUMBER(SEARCH("Beam",$L212)),ISNUMBER(SEARCH("Firestorm",$L212))),1, IF(ISNUMBER(SEARCH("Blast",$L212)),(4+$F212+(2-$F212)*0.5)/6*2,(4+$F212)/6)) *
IF(ISNUMBER(SEARCH("Fusion",$L212)), _xlfn.IFS(AA$24-$I212 &lt;=1, 9/10, AA$24-$I212 &lt;=10,(11-(AA$24-$I212))/10, AA$24-$I212 &gt;=11, 0),
_xlfn.IFS(AA$24-$I212 &lt;=1, 5/6, AA$24-$I212 &lt;=5, (7-(AA$24-$I212))/6, AND(AA$24-$I212 =6,NOT(_xlfn.IFNA(ISNUMBER(SEARCH("Rending",$L212)),FALSE))), (7-(AA$24-$I212))/6, AND(AA$24-$I212 &gt;=7,NOT(_xlfn.IFNA(ISNUMBER(SEARCH("Rending",$L212)),FALSE))), 0, AA$24-$I212 =7, (7-(AA$24-1-$I212))/6, AA$24-$I212 =8, (7-(AA$24-2-$I212))/6*2/3, AA$24-$I212 =9, (7-(AA$24-3-$I212))/6*1/3, TRUE, 0)) *
IF(ISNUMBER(SEARCH("Ordinance",$L212)),7/6,1) *
IF(OR(ISNUMBER(SEARCH("Melee",$L212)),ISNUMBER(SEARCH("Bypass",$L212))),1.5,1)</f>
        <v>0</v>
      </c>
      <c r="AB212" s="17" cm="1">
        <f t="array" ref="AB212">$H212 *
IF(ISNUMBER(SEARCH("Rapid",$L212)),7/6,1) *
IF(OR(ISNUMBER(SEARCH("Beam",$L212)),ISNUMBER(SEARCH("Firestorm",$L212))),1, IF(ISNUMBER(SEARCH("Blast",$L212)),(4+$F212+(2-$F212)*0.5)/6*2,(4+$F212)/6)) *
IF(ISNUMBER(SEARCH("Fusion",$L212)), _xlfn.IFS(AB$24-$I212 &lt;=1, 9/10, AB$24-$I212 &lt;=10,(11-(AB$24-$I212))/10, AB$24-$I212 &gt;=11, 0),
_xlfn.IFS(AB$24-$I212 &lt;=1, 5/6, AB$24-$I212 &lt;=5, (7-(AB$24-$I212))/6, AND(AB$24-$I212 =6,NOT(_xlfn.IFNA(ISNUMBER(SEARCH("Rending",$L212)),FALSE))), (7-(AB$24-$I212))/6, AND(AB$24-$I212 &gt;=7,NOT(_xlfn.IFNA(ISNUMBER(SEARCH("Rending",$L212)),FALSE))), 0, AB$24-$I212 =7, (7-(AB$24-1-$I212))/6, AB$24-$I212 =8, (7-(AB$24-2-$I212))/6*2/3, AB$24-$I212 =9, (7-(AB$24-3-$I212))/6*1/3, TRUE, 0)) *
IF(ISNUMBER(SEARCH("Ordinance",$L212)),7/6,1) *
IF(OR(ISNUMBER(SEARCH("Melee",$L212)),ISNUMBER(SEARCH("Bypass",$L212))),1.5,1)</f>
        <v>0</v>
      </c>
      <c r="AC212" s="17" cm="1">
        <f t="array" ref="AC212">$H212 *
IF(ISNUMBER(SEARCH("Rapid",$L212)),7/6,1) *
IF(OR(ISNUMBER(SEARCH("Beam",$L212)),ISNUMBER(SEARCH("Firestorm",$L212))),1, IF(ISNUMBER(SEARCH("Blast",$L212)),(4+$F212+(2-$F212)*0.5)/6*2,(4+$F212)/6)) *
IF(ISNUMBER(SEARCH("Fusion",$L212)), _xlfn.IFS(AC$24-$I212 &lt;=1, 9/10, AC$24-$I212 &lt;=10,(11-(AC$24-$I212))/10, AC$24-$I212 &gt;=11, 0),
_xlfn.IFS(AC$24-$I212 &lt;=1, 5/6, AC$24-$I212 &lt;=5, (7-(AC$24-$I212))/6, AND(AC$24-$I212 =6,NOT(_xlfn.IFNA(ISNUMBER(SEARCH("Rending",$L212)),FALSE))), (7-(AC$24-$I212))/6, AND(AC$24-$I212 &gt;=7,NOT(_xlfn.IFNA(ISNUMBER(SEARCH("Rending",$L212)),FALSE))), 0, AC$24-$I212 =7, (7-(AC$24-1-$I212))/6, AC$24-$I212 =8, (7-(AC$24-2-$I212))/6*2/3, AC$24-$I212 =9, (7-(AC$24-3-$I212))/6*1/3, TRUE, 0)) *
IF(ISNUMBER(SEARCH("Ordinance",$L212)),7/6,1) *
IF(OR(ISNUMBER(SEARCH("Melee",$L212)),ISNUMBER(SEARCH("Bypass",$L212))),1.5,1)</f>
        <v>0</v>
      </c>
      <c r="AD212" s="17" cm="1">
        <f t="array" ref="AD212">$H212 *
IF(ISNUMBER(SEARCH("Rapid",$L212)),7/6,1) *
IF(OR(ISNUMBER(SEARCH("Beam",$L212)),ISNUMBER(SEARCH("Firestorm",$L212))),1, IF(ISNUMBER(SEARCH("Blast",$L212)),(4+$F212+(2-$F212)*0.5)/6*2,(4+$F212)/6)) *
IF(ISNUMBER(SEARCH("Fusion",$L212)), _xlfn.IFS(AD$24-$I212 &lt;=1, 9/10, AD$24-$I212 &lt;=10,(11-(AD$24-$I212))/10, AD$24-$I212 &gt;=11, 0),
_xlfn.IFS(AD$24-$I212 &lt;=1, 5/6, AD$24-$I212 &lt;=5, (7-(AD$24-$I212))/6, AND(AD$24-$I212 =6,NOT(_xlfn.IFNA(ISNUMBER(SEARCH("Rending",$L212)),FALSE))), (7-(AD$24-$I212))/6, AND(AD$24-$I212 &gt;=7,NOT(_xlfn.IFNA(ISNUMBER(SEARCH("Rending",$L212)),FALSE))), 0, AD$24-$I212 =7, (7-(AD$24-1-$I212))/6, AD$24-$I212 =8, (7-(AD$24-2-$I212))/6*2/3, AD$24-$I212 =9, (7-(AD$24-3-$I212))/6*1/3, TRUE, 0)) *
IF(ISNUMBER(SEARCH("Ordinance",$L212)),7/6,1) *
IF(OR(ISNUMBER(SEARCH("Melee",$L212)),ISNUMBER(SEARCH("Bypass",$L212))),1.5,1)</f>
        <v>0</v>
      </c>
      <c r="AE212" s="17" cm="1">
        <f t="array" ref="AE212">$H212 *
IF(ISNUMBER(SEARCH("Rapid",$L212)),7/6,1) *
IF(OR(ISNUMBER(SEARCH("Beam",$L212)),ISNUMBER(SEARCH("Firestorm",$L212))),1, IF(ISNUMBER(SEARCH("Blast",$L212)),(4+$F212+(2-$F212)*0.5)/6*2,(4+$F212)/6)) *
IF(ISNUMBER(SEARCH("Fusion",$L212)), _xlfn.IFS(AE$24-$I212 &lt;=1, 9/10, AE$24-$I212 &lt;=10,(11-(AE$24-$I212))/10, AE$24-$I212 &gt;=11, 0),
_xlfn.IFS(AE$24-$I212 &lt;=1, 5/6, AE$24-$I212 &lt;=5, (7-(AE$24-$I212))/6, AND(AE$24-$I212 =6,NOT(_xlfn.IFNA(ISNUMBER(SEARCH("Rending",$L212)),FALSE))), (7-(AE$24-$I212))/6, AND(AE$24-$I212 &gt;=7,NOT(_xlfn.IFNA(ISNUMBER(SEARCH("Rending",$L212)),FALSE))), 0, AE$24-$I212 =7, (7-(AE$24-1-$I212))/6, AE$24-$I212 =8, (7-(AE$24-2-$I212))/6*2/3, AE$24-$I212 =9, (7-(AE$24-3-$I212))/6*1/3, TRUE, 0)) *
IF(ISNUMBER(SEARCH("Ordinance",$L212)),7/6,1) *
IF(OR(ISNUMBER(SEARCH("Melee",$L212)),ISNUMBER(SEARCH("Bypass",$L212))),1.5,1)</f>
        <v>0</v>
      </c>
      <c r="AF212" s="17" cm="1">
        <f t="array" ref="AF212">$H212 *
IF(ISNUMBER(SEARCH("Rapid",$L212)),7/6,1) *
IF(OR(ISNUMBER(SEARCH("Beam",$L212)),ISNUMBER(SEARCH("Firestorm",$L212))),1, IF(ISNUMBER(SEARCH("Blast",$L212)),(4+$F212+(2-$F212)*0.5)/6*2,(4+$F212)/6)) *
IF(ISNUMBER(SEARCH("Fusion",$L212)), _xlfn.IFS(AF$24-$I212 &lt;=1, 9/10, AF$24-$I212 &lt;=10,(11-(AF$24-$I212))/10, AF$24-$I212 &gt;=11, 0),
_xlfn.IFS(AF$24-$I212 &lt;=1, 5/6, AF$24-$I212 &lt;=5, (7-(AF$24-$I212))/6, AND(AF$24-$I212 =6,NOT(_xlfn.IFNA(ISNUMBER(SEARCH("Rending",$L212)),FALSE))), (7-(AF$24-$I212))/6, AND(AF$24-$I212 &gt;=7,NOT(_xlfn.IFNA(ISNUMBER(SEARCH("Rending",$L212)),FALSE))), 0, AF$24-$I212 =7, (7-(AF$24-1-$I212))/6, AF$24-$I212 =8, (7-(AF$24-2-$I212))/6*2/3, AF$24-$I212 =9, (7-(AF$24-3-$I212))/6*1/3, TRUE, 0)) *
IF(ISNUMBER(SEARCH("Ordinance",$L212)),7/6,1) *
IF(OR(ISNUMBER(SEARCH("Melee",$L212)),ISNUMBER(SEARCH("Bypass",$L212))),1.5,1)</f>
        <v>0</v>
      </c>
      <c r="AG212" s="16">
        <f t="shared" si="67"/>
        <v>0</v>
      </c>
      <c r="AH212" s="16">
        <f t="shared" si="68"/>
        <v>0</v>
      </c>
      <c r="AI212" s="17" cm="1">
        <f t="array" ref="AI212">$H212 *
IF(ISNUMBER(SEARCH("Rapid",$L212)),7/6,1) *
IF(OR(ISNUMBER(SEARCH("Beam",$L212)),ISNUMBER(SEARCH("Firestorm",$L212))),1, IF(ISNUMBER(SEARCH("Blast",$L212)),(4+$G212+(2-$G212)*0.5)/6*2,(4+$G212)/6)) *
_xlfn.IFS(AI$24-$I212 &lt;=1, 5/6, AI$24-$I212 &lt;=5, (7-(AI$24-$I212))/6, AND(AI$24-$I212 =6,NOT(_xlfn.IFNA(ISNUMBER(SEARCH("Rending",$L212)),FALSE))), (7-(AI$24-$I212))/6, AND(AI$24-$I212 &gt;=7,NOT(_xlfn.IFNA(ISNUMBER(SEARCH("Rending",$L212)),FALSE))), 0, AI$24-$I212 =7, (7-(AI$24-1-$I212))/6, AI$24-$I212 =8, (7-(AI$24-2-$I212))/6*2/3, AI$24-$I212 =9, (7-(AI$24-3-$I212))/6*1/3, TRUE, 0) *
IF(ISNUMBER(SEARCH("Ordinance",$L212)),7/6,1) *
IF(OR(ISNUMBER(SEARCH("Melee",$L212)),ISNUMBER(SEARCH("Bypass",$L212))),1.5,1)</f>
        <v>0</v>
      </c>
      <c r="AJ212" s="17" cm="1">
        <f t="array" ref="AJ212">$H212 *
IF(ISNUMBER(SEARCH("Rapid",$L212)),7/6,1) *
IF(OR(ISNUMBER(SEARCH("Beam",$L212)),ISNUMBER(SEARCH("Firestorm",$L212))),1, IF(ISNUMBER(SEARCH("Blast",$L212)),(4+$G212+(2-$G212)*0.5)/6*2,(4+$G212)/6)) *
_xlfn.IFS(AJ$24-$I212 &lt;=1, 5/6, AJ$24-$I212 &lt;=5, (7-(AJ$24-$I212))/6, AND(AJ$24-$I212 =6,NOT(_xlfn.IFNA(ISNUMBER(SEARCH("Rending",$L212)),FALSE))), (7-(AJ$24-$I212))/6, AND(AJ$24-$I212 &gt;=7,NOT(_xlfn.IFNA(ISNUMBER(SEARCH("Rending",$L212)),FALSE))), 0, AJ$24-$I212 =7, (7-(AJ$24-1-$I212))/6, AJ$24-$I212 =8, (7-(AJ$24-2-$I212))/6*2/3, AJ$24-$I212 =9, (7-(AJ$24-3-$I212))/6*1/3, TRUE, 0) *
IF(ISNUMBER(SEARCH("Ordinance",$L212)),7/6,1) *
IF(OR(ISNUMBER(SEARCH("Melee",$L212)),ISNUMBER(SEARCH("Bypass",$L212))),1.5,1)</f>
        <v>0</v>
      </c>
      <c r="AK212" s="17" cm="1">
        <f t="array" ref="AK212">$H212 *
IF(ISNUMBER(SEARCH("Rapid",$L212)),7/6,1) *
IF(OR(ISNUMBER(SEARCH("Beam",$L212)),ISNUMBER(SEARCH("Firestorm",$L212))),1, IF(ISNUMBER(SEARCH("Blast",$L212)),(4+$G212+(2-$G212)*0.5)/6*2,(4+$G212)/6)) *
_xlfn.IFS(AK$24-$I212 &lt;=1, 5/6, AK$24-$I212 &lt;=5, (7-(AK$24-$I212))/6, AND(AK$24-$I212 =6,NOT(_xlfn.IFNA(ISNUMBER(SEARCH("Rending",$L212)),FALSE))), (7-(AK$24-$I212))/6, AND(AK$24-$I212 &gt;=7,NOT(_xlfn.IFNA(ISNUMBER(SEARCH("Rending",$L212)),FALSE))), 0, AK$24-$I212 =7, (7-(AK$24-1-$I212))/6, AK$24-$I212 =8, (7-(AK$24-2-$I212))/6*2/3, AK$24-$I212 =9, (7-(AK$24-3-$I212))/6*1/3, TRUE, 0) *
IF(ISNUMBER(SEARCH("Ordinance",$L212)),7/6,1) *
IF(OR(ISNUMBER(SEARCH("Melee",$L212)),ISNUMBER(SEARCH("Bypass",$L212))),1.5,1)</f>
        <v>0</v>
      </c>
      <c r="AL212" s="17" cm="1">
        <f t="array" ref="AL212">$H212 *
IF(ISNUMBER(SEARCH("Rapid",$L212)),7/6,1) *
IF(OR(ISNUMBER(SEARCH("Beam",$L212)),ISNUMBER(SEARCH("Firestorm",$L212))),1, IF(ISNUMBER(SEARCH("Blast",$L212)),(4+$G212+(2-$G212)*0.5)/6*2,(4+$G212)/6)) *
_xlfn.IFS(AL$24-$I212 &lt;=1, 5/6, AL$24-$I212 &lt;=5, (7-(AL$24-$I212))/6, AND(AL$24-$I212 =6,NOT(_xlfn.IFNA(ISNUMBER(SEARCH("Rending",$L212)),FALSE))), (7-(AL$24-$I212))/6, AND(AL$24-$I212 &gt;=7,NOT(_xlfn.IFNA(ISNUMBER(SEARCH("Rending",$L212)),FALSE))), 0, AL$24-$I212 =7, (7-(AL$24-1-$I212))/6, AL$24-$I212 =8, (7-(AL$24-2-$I212))/6*2/3, AL$24-$I212 =9, (7-(AL$24-3-$I212))/6*1/3, TRUE, 0) *
IF(ISNUMBER(SEARCH("Ordinance",$L212)),7/6,1) *
IF(OR(ISNUMBER(SEARCH("Melee",$L212)),ISNUMBER(SEARCH("Bypass",$L212))),1.5,1)</f>
        <v>0</v>
      </c>
      <c r="AM212" s="17" cm="1">
        <f t="array" ref="AM212">$H212 *
IF(ISNUMBER(SEARCH("Rapid",$L212)),7/6,1) *
IF(OR(ISNUMBER(SEARCH("Beam",$L212)),ISNUMBER(SEARCH("Firestorm",$L212))),1, IF(ISNUMBER(SEARCH("Blast",$L212)),(4+$G212+(2-$G212)*0.5)/6*2,(4+$G212)/6)) *
_xlfn.IFS(AM$24-$I212 &lt;=1, 5/6, AM$24-$I212 &lt;=5, (7-(AM$24-$I212))/6, AND(AM$24-$I212 =6,NOT(_xlfn.IFNA(ISNUMBER(SEARCH("Rending",$L212)),FALSE))), (7-(AM$24-$I212))/6, AND(AM$24-$I212 &gt;=7,NOT(_xlfn.IFNA(ISNUMBER(SEARCH("Rending",$L212)),FALSE))), 0, AM$24-$I212 =7, (7-(AM$24-1-$I212))/6, AM$24-$I212 =8, (7-(AM$24-2-$I212))/6*2/3, AM$24-$I212 =9, (7-(AM$24-3-$I212))/6*1/3, TRUE, 0) *
IF(ISNUMBER(SEARCH("Ordinance",$L212)),7/6,1) *
IF(OR(ISNUMBER(SEARCH("Melee",$L212)),ISNUMBER(SEARCH("Bypass",$L212))),1.5,1)</f>
        <v>0</v>
      </c>
      <c r="AN212" s="17" cm="1">
        <f t="array" ref="AN212">$H212 *
IF(ISNUMBER(SEARCH("Rapid",$L212)),7/6,1) *
IF(OR(ISNUMBER(SEARCH("Beam",$L212)),ISNUMBER(SEARCH("Firestorm",$L212))),1, IF(ISNUMBER(SEARCH("Blast",$L212)),(4+$G212+(2-$G212)*0.5)/6*2,(4+$G212)/6)) *
_xlfn.IFS(AN$24-$I212 &lt;=1, 5/6, AN$24-$I212 &lt;=5, (7-(AN$24-$I212))/6, AND(AN$24-$I212 =6,NOT(_xlfn.IFNA(ISNUMBER(SEARCH("Rending",$L212)),FALSE))), (7-(AN$24-$I212))/6, AND(AN$24-$I212 &gt;=7,NOT(_xlfn.IFNA(ISNUMBER(SEARCH("Rending",$L212)),FALSE))), 0, AN$24-$I212 =7, (7-(AN$24-1-$I212))/6, AN$24-$I212 =8, (7-(AN$24-2-$I212))/6*2/3, AN$24-$I212 =9, (7-(AN$24-3-$I212))/6*1/3, TRUE, 0) *
IF(ISNUMBER(SEARCH("Ordinance",$L212)),7/6,1) *
IF(OR(ISNUMBER(SEARCH("Melee",$L212)),ISNUMBER(SEARCH("Bypass",$L212))),1.5,1)</f>
        <v>0</v>
      </c>
      <c r="AO212" s="17" cm="1">
        <f t="array" ref="AO212">$H212 *
IF(ISNUMBER(SEARCH("Rapid",$L212)),7/6,1) *
IF(OR(ISNUMBER(SEARCH("Beam",$L212)),ISNUMBER(SEARCH("Firestorm",$L212))),1, IF(ISNUMBER(SEARCH("Blast",$L212)),(4+$G212+(2-$G212)*0.5)/6*2,(4+$G212)/6)) *
_xlfn.IFS(AO$24-$I212 &lt;=1, 5/6, AO$24-$I212 &lt;=5, (7-(AO$24-$I212))/6, AND(AO$24-$I212 =6,NOT(_xlfn.IFNA(ISNUMBER(SEARCH("Rending",$L212)),FALSE))), (7-(AO$24-$I212))/6, AND(AO$24-$I212 &gt;=7,NOT(_xlfn.IFNA(ISNUMBER(SEARCH("Rending",$L212)),FALSE))), 0, AO$24-$I212 =7, (7-(AO$24-1-$I212))/6, AO$24-$I212 =8, (7-(AO$24-2-$I212))/6*2/3, AO$24-$I212 =9, (7-(AO$24-3-$I212))/6*1/3, TRUE, 0) *
IF(ISNUMBER(SEARCH("Ordinance",$L212)),7/6,1) *
IF(OR(ISNUMBER(SEARCH("Melee",$L212)),ISNUMBER(SEARCH("Bypass",$L212))),1.5,1)</f>
        <v>0</v>
      </c>
      <c r="AP212" s="17" cm="1">
        <f t="array" ref="AP212">$H212 *
IF(ISNUMBER(SEARCH("Rapid",$L212)),7/6,1) *
IF(OR(ISNUMBER(SEARCH("Beam",$L212)),ISNUMBER(SEARCH("Firestorm",$L212))),1, IF(ISNUMBER(SEARCH("Blast",$L212)),(4+$G212+(2-$G212)*0.5)/6*2,(4+$G212)/6)) *
_xlfn.IFS(AP$24-$I212 &lt;=1, 5/6, AP$24-$I212 &lt;=5, (7-(AP$24-$I212))/6, AND(AP$24-$I212 =6,NOT(_xlfn.IFNA(ISNUMBER(SEARCH("Rending",$L212)),FALSE))), (7-(AP$24-$I212))/6, AND(AP$24-$I212 &gt;=7,NOT(_xlfn.IFNA(ISNUMBER(SEARCH("Rending",$L212)),FALSE))), 0, AP$24-$I212 =7, (7-(AP$24-1-$I212))/6, AP$24-$I212 =8, (7-(AP$24-2-$I212))/6*2/3, AP$24-$I212 =9, (7-(AP$24-3-$I212))/6*1/3, TRUE, 0) *
IF(ISNUMBER(SEARCH("Ordinance",$L212)),7/6,1) *
IF(OR(ISNUMBER(SEARCH("Melee",$L212)),ISNUMBER(SEARCH("Bypass",$L212))),1.5,1)</f>
        <v>0</v>
      </c>
      <c r="AQ212" s="17" cm="1">
        <f t="array" ref="AQ212">$H212 *
IF(ISNUMBER(SEARCH("Rapid",$L212)),7/6,1) *
IF(OR(ISNUMBER(SEARCH("Beam",$L212)),ISNUMBER(SEARCH("Firestorm",$L212))),1, IF(ISNUMBER(SEARCH("Blast",$L212)),(4+$G212+(2-$G212)*0.5)/6*2,(4+$G212)/6)) *
_xlfn.IFS(AQ$24-$I212 &lt;=1, 5/6, AQ$24-$I212 &lt;=5, (7-(AQ$24-$I212))/6, AND(AQ$24-$I212 =6,NOT(_xlfn.IFNA(ISNUMBER(SEARCH("Rending",$L212)),FALSE))), (7-(AQ$24-$I212))/6, AND(AQ$24-$I212 &gt;=7,NOT(_xlfn.IFNA(ISNUMBER(SEARCH("Rending",$L212)),FALSE))), 0, AQ$24-$I212 =7, (7-(AQ$24-1-$I212))/6, AQ$24-$I212 =8, (7-(AQ$24-2-$I212))/6*2/3, AQ$24-$I212 =9, (7-(AQ$24-3-$I212))/6*1/3, TRUE, 0) *
IF(ISNUMBER(SEARCH("Ordinance",$L212)),7/6,1) *
IF(OR(ISNUMBER(SEARCH("Melee",$L212)),ISNUMBER(SEARCH("Bypass",$L212))),1.5,1)</f>
        <v>0</v>
      </c>
      <c r="AV212" s="39"/>
    </row>
    <row r="213" spans="1:48" x14ac:dyDescent="0.3">
      <c r="A213" t="str">
        <f>'40K9_Stats'!O21</f>
        <v>Wraith Glaive</v>
      </c>
      <c r="B213" s="3">
        <v>3</v>
      </c>
      <c r="D213" s="3">
        <v>2</v>
      </c>
      <c r="E213" s="3">
        <v>0</v>
      </c>
      <c r="F213" s="10">
        <v>1</v>
      </c>
      <c r="G213" s="10"/>
      <c r="H213" s="3">
        <v>3</v>
      </c>
      <c r="I213" s="3">
        <v>9</v>
      </c>
      <c r="J213" s="3" t="s">
        <v>548</v>
      </c>
      <c r="K213" s="3">
        <v>30</v>
      </c>
      <c r="L213" s="3" t="s">
        <v>794</v>
      </c>
      <c r="M213" s="3" t="s">
        <v>599</v>
      </c>
      <c r="N213" s="3">
        <v>11</v>
      </c>
      <c r="O213" s="3">
        <v>11</v>
      </c>
      <c r="P213" s="3">
        <v>15</v>
      </c>
      <c r="Q213" s="3" t="s">
        <v>200</v>
      </c>
      <c r="R213" s="3">
        <v>7</v>
      </c>
      <c r="S213" s="3">
        <v>9</v>
      </c>
      <c r="T213" s="3">
        <v>2</v>
      </c>
      <c r="V213" s="16">
        <f t="shared" si="65"/>
        <v>0</v>
      </c>
      <c r="W213" s="16">
        <f t="shared" si="66"/>
        <v>0</v>
      </c>
      <c r="X213" s="17" cm="1">
        <f t="array" ref="X213">$H213 *
IF(ISNUMBER(SEARCH("Rapid",$L213)),7/6,1) *
IF(OR(ISNUMBER(SEARCH("Beam",$L213)),ISNUMBER(SEARCH("Firestorm",$L213))),1, IF(ISNUMBER(SEARCH("Blast",$L213)),(4+$F213+(2-$F213)*0.5)/6*2,(4+$F213)/6)) *
IF(ISNUMBER(SEARCH("Fusion",$L213)), _xlfn.IFS(X$24-$I213 &lt;=1, 9/10, X$24-$I213 &lt;=10,(11-(X$24-$I213))/10, X$24-$I213 &gt;=11, 0),
_xlfn.IFS(X$24-$I213 &lt;=1, 5/6, X$24-$I213 &lt;=5, (7-(X$24-$I213))/6, AND(X$24-$I213 =6,NOT(_xlfn.IFNA(ISNUMBER(SEARCH("Rending",$L213)),FALSE))), (7-(X$24-$I213))/6, AND(X$24-$I213 &gt;=7,NOT(_xlfn.IFNA(ISNUMBER(SEARCH("Rending",$L213)),FALSE))), 0, X$24-$I213 =7, (7-(X$24-1-$I213))/6, X$24-$I213 =8, (7-(X$24-2-$I213))/6*2/3, X$24-$I213 =9, (7-(X$24-3-$I213))/6*1/3, TRUE, 0)) *
IF(ISNUMBER(SEARCH("Ordinance",$L213)),7/6,1) *
IF(OR(ISNUMBER(SEARCH("Melee",$L213)),ISNUMBER(SEARCH("Bypass",$L213))),1.5,1)</f>
        <v>3.125</v>
      </c>
      <c r="Y213" s="17" cm="1">
        <f t="array" ref="Y213">$H213 *
IF(ISNUMBER(SEARCH("Rapid",$L213)),7/6,1) *
IF(OR(ISNUMBER(SEARCH("Beam",$L213)),ISNUMBER(SEARCH("Firestorm",$L213))),1, IF(ISNUMBER(SEARCH("Blast",$L213)),(4+$F213+(2-$F213)*0.5)/6*2,(4+$F213)/6)) *
IF(ISNUMBER(SEARCH("Fusion",$L213)), _xlfn.IFS(Y$24-$I213 &lt;=1, 9/10, Y$24-$I213 &lt;=10,(11-(Y$24-$I213))/10, Y$24-$I213 &gt;=11, 0),
_xlfn.IFS(Y$24-$I213 &lt;=1, 5/6, Y$24-$I213 &lt;=5, (7-(Y$24-$I213))/6, AND(Y$24-$I213 =6,NOT(_xlfn.IFNA(ISNUMBER(SEARCH("Rending",$L213)),FALSE))), (7-(Y$24-$I213))/6, AND(Y$24-$I213 &gt;=7,NOT(_xlfn.IFNA(ISNUMBER(SEARCH("Rending",$L213)),FALSE))), 0, Y$24-$I213 =7, (7-(Y$24-1-$I213))/6, Y$24-$I213 =8, (7-(Y$24-2-$I213))/6*2/3, Y$24-$I213 =9, (7-(Y$24-3-$I213))/6*1/3, TRUE, 0)) *
IF(ISNUMBER(SEARCH("Ordinance",$L213)),7/6,1) *
IF(OR(ISNUMBER(SEARCH("Melee",$L213)),ISNUMBER(SEARCH("Bypass",$L213))),1.5,1)</f>
        <v>3.125</v>
      </c>
      <c r="Z213" s="17" cm="1">
        <f t="array" ref="Z213">$H213 *
IF(ISNUMBER(SEARCH("Rapid",$L213)),7/6,1) *
IF(OR(ISNUMBER(SEARCH("Beam",$L213)),ISNUMBER(SEARCH("Firestorm",$L213))),1, IF(ISNUMBER(SEARCH("Blast",$L213)),(4+$F213+(2-$F213)*0.5)/6*2,(4+$F213)/6)) *
IF(ISNUMBER(SEARCH("Fusion",$L213)), _xlfn.IFS(Z$24-$I213 &lt;=1, 9/10, Z$24-$I213 &lt;=10,(11-(Z$24-$I213))/10, Z$24-$I213 &gt;=11, 0),
_xlfn.IFS(Z$24-$I213 &lt;=1, 5/6, Z$24-$I213 &lt;=5, (7-(Z$24-$I213))/6, AND(Z$24-$I213 =6,NOT(_xlfn.IFNA(ISNUMBER(SEARCH("Rending",$L213)),FALSE))), (7-(Z$24-$I213))/6, AND(Z$24-$I213 &gt;=7,NOT(_xlfn.IFNA(ISNUMBER(SEARCH("Rending",$L213)),FALSE))), 0, Z$24-$I213 =7, (7-(Z$24-1-$I213))/6, Z$24-$I213 =8, (7-(Z$24-2-$I213))/6*2/3, Z$24-$I213 =9, (7-(Z$24-3-$I213))/6*1/3, TRUE, 0)) *
IF(ISNUMBER(SEARCH("Ordinance",$L213)),7/6,1) *
IF(OR(ISNUMBER(SEARCH("Melee",$L213)),ISNUMBER(SEARCH("Bypass",$L213))),1.5,1)</f>
        <v>3.125</v>
      </c>
      <c r="AA213" s="17" cm="1">
        <f t="array" ref="AA213">$H213 *
IF(ISNUMBER(SEARCH("Rapid",$L213)),7/6,1) *
IF(OR(ISNUMBER(SEARCH("Beam",$L213)),ISNUMBER(SEARCH("Firestorm",$L213))),1, IF(ISNUMBER(SEARCH("Blast",$L213)),(4+$F213+(2-$F213)*0.5)/6*2,(4+$F213)/6)) *
IF(ISNUMBER(SEARCH("Fusion",$L213)), _xlfn.IFS(AA$24-$I213 &lt;=1, 9/10, AA$24-$I213 &lt;=10,(11-(AA$24-$I213))/10, AA$24-$I213 &gt;=11, 0),
_xlfn.IFS(AA$24-$I213 &lt;=1, 5/6, AA$24-$I213 &lt;=5, (7-(AA$24-$I213))/6, AND(AA$24-$I213 =6,NOT(_xlfn.IFNA(ISNUMBER(SEARCH("Rending",$L213)),FALSE))), (7-(AA$24-$I213))/6, AND(AA$24-$I213 &gt;=7,NOT(_xlfn.IFNA(ISNUMBER(SEARCH("Rending",$L213)),FALSE))), 0, AA$24-$I213 =7, (7-(AA$24-1-$I213))/6, AA$24-$I213 =8, (7-(AA$24-2-$I213))/6*2/3, AA$24-$I213 =9, (7-(AA$24-3-$I213))/6*1/3, TRUE, 0)) *
IF(ISNUMBER(SEARCH("Ordinance",$L213)),7/6,1) *
IF(OR(ISNUMBER(SEARCH("Melee",$L213)),ISNUMBER(SEARCH("Bypass",$L213))),1.5,1)</f>
        <v>2.5</v>
      </c>
      <c r="AB213" s="17" cm="1">
        <f t="array" ref="AB213">$H213 *
IF(ISNUMBER(SEARCH("Rapid",$L213)),7/6,1) *
IF(OR(ISNUMBER(SEARCH("Beam",$L213)),ISNUMBER(SEARCH("Firestorm",$L213))),1, IF(ISNUMBER(SEARCH("Blast",$L213)),(4+$F213+(2-$F213)*0.5)/6*2,(4+$F213)/6)) *
IF(ISNUMBER(SEARCH("Fusion",$L213)), _xlfn.IFS(AB$24-$I213 &lt;=1, 9/10, AB$24-$I213 &lt;=10,(11-(AB$24-$I213))/10, AB$24-$I213 &gt;=11, 0),
_xlfn.IFS(AB$24-$I213 &lt;=1, 5/6, AB$24-$I213 &lt;=5, (7-(AB$24-$I213))/6, AND(AB$24-$I213 =6,NOT(_xlfn.IFNA(ISNUMBER(SEARCH("Rending",$L213)),FALSE))), (7-(AB$24-$I213))/6, AND(AB$24-$I213 &gt;=7,NOT(_xlfn.IFNA(ISNUMBER(SEARCH("Rending",$L213)),FALSE))), 0, AB$24-$I213 =7, (7-(AB$24-1-$I213))/6, AB$24-$I213 =8, (7-(AB$24-2-$I213))/6*2/3, AB$24-$I213 =9, (7-(AB$24-3-$I213))/6*1/3, TRUE, 0)) *
IF(ISNUMBER(SEARCH("Ordinance",$L213)),7/6,1) *
IF(OR(ISNUMBER(SEARCH("Melee",$L213)),ISNUMBER(SEARCH("Bypass",$L213))),1.5,1)</f>
        <v>1.875</v>
      </c>
      <c r="AC213" s="17" cm="1">
        <f t="array" ref="AC213">$H213 *
IF(ISNUMBER(SEARCH("Rapid",$L213)),7/6,1) *
IF(OR(ISNUMBER(SEARCH("Beam",$L213)),ISNUMBER(SEARCH("Firestorm",$L213))),1, IF(ISNUMBER(SEARCH("Blast",$L213)),(4+$F213+(2-$F213)*0.5)/6*2,(4+$F213)/6)) *
IF(ISNUMBER(SEARCH("Fusion",$L213)), _xlfn.IFS(AC$24-$I213 &lt;=1, 9/10, AC$24-$I213 &lt;=10,(11-(AC$24-$I213))/10, AC$24-$I213 &gt;=11, 0),
_xlfn.IFS(AC$24-$I213 &lt;=1, 5/6, AC$24-$I213 &lt;=5, (7-(AC$24-$I213))/6, AND(AC$24-$I213 =6,NOT(_xlfn.IFNA(ISNUMBER(SEARCH("Rending",$L213)),FALSE))), (7-(AC$24-$I213))/6, AND(AC$24-$I213 &gt;=7,NOT(_xlfn.IFNA(ISNUMBER(SEARCH("Rending",$L213)),FALSE))), 0, AC$24-$I213 =7, (7-(AC$24-1-$I213))/6, AC$24-$I213 =8, (7-(AC$24-2-$I213))/6*2/3, AC$24-$I213 =9, (7-(AC$24-3-$I213))/6*1/3, TRUE, 0)) *
IF(ISNUMBER(SEARCH("Ordinance",$L213)),7/6,1) *
IF(OR(ISNUMBER(SEARCH("Melee",$L213)),ISNUMBER(SEARCH("Bypass",$L213))),1.5,1)</f>
        <v>1.25</v>
      </c>
      <c r="AD213" s="17" cm="1">
        <f t="array" ref="AD213">$H213 *
IF(ISNUMBER(SEARCH("Rapid",$L213)),7/6,1) *
IF(OR(ISNUMBER(SEARCH("Beam",$L213)),ISNUMBER(SEARCH("Firestorm",$L213))),1, IF(ISNUMBER(SEARCH("Blast",$L213)),(4+$F213+(2-$F213)*0.5)/6*2,(4+$F213)/6)) *
IF(ISNUMBER(SEARCH("Fusion",$L213)), _xlfn.IFS(AD$24-$I213 &lt;=1, 9/10, AD$24-$I213 &lt;=10,(11-(AD$24-$I213))/10, AD$24-$I213 &gt;=11, 0),
_xlfn.IFS(AD$24-$I213 &lt;=1, 5/6, AD$24-$I213 &lt;=5, (7-(AD$24-$I213))/6, AND(AD$24-$I213 =6,NOT(_xlfn.IFNA(ISNUMBER(SEARCH("Rending",$L213)),FALSE))), (7-(AD$24-$I213))/6, AND(AD$24-$I213 &gt;=7,NOT(_xlfn.IFNA(ISNUMBER(SEARCH("Rending",$L213)),FALSE))), 0, AD$24-$I213 =7, (7-(AD$24-1-$I213))/6, AD$24-$I213 =8, (7-(AD$24-2-$I213))/6*2/3, AD$24-$I213 =9, (7-(AD$24-3-$I213))/6*1/3, TRUE, 0)) *
IF(ISNUMBER(SEARCH("Ordinance",$L213)),7/6,1) *
IF(OR(ISNUMBER(SEARCH("Melee",$L213)),ISNUMBER(SEARCH("Bypass",$L213))),1.5,1)</f>
        <v>0</v>
      </c>
      <c r="AE213" s="17" cm="1">
        <f t="array" ref="AE213">$H213 *
IF(ISNUMBER(SEARCH("Rapid",$L213)),7/6,1) *
IF(OR(ISNUMBER(SEARCH("Beam",$L213)),ISNUMBER(SEARCH("Firestorm",$L213))),1, IF(ISNUMBER(SEARCH("Blast",$L213)),(4+$F213+(2-$F213)*0.5)/6*2,(4+$F213)/6)) *
IF(ISNUMBER(SEARCH("Fusion",$L213)), _xlfn.IFS(AE$24-$I213 &lt;=1, 9/10, AE$24-$I213 &lt;=10,(11-(AE$24-$I213))/10, AE$24-$I213 &gt;=11, 0),
_xlfn.IFS(AE$24-$I213 &lt;=1, 5/6, AE$24-$I213 &lt;=5, (7-(AE$24-$I213))/6, AND(AE$24-$I213 =6,NOT(_xlfn.IFNA(ISNUMBER(SEARCH("Rending",$L213)),FALSE))), (7-(AE$24-$I213))/6, AND(AE$24-$I213 &gt;=7,NOT(_xlfn.IFNA(ISNUMBER(SEARCH("Rending",$L213)),FALSE))), 0, AE$24-$I213 =7, (7-(AE$24-1-$I213))/6, AE$24-$I213 =8, (7-(AE$24-2-$I213))/6*2/3, AE$24-$I213 =9, (7-(AE$24-3-$I213))/6*1/3, TRUE, 0)) *
IF(ISNUMBER(SEARCH("Ordinance",$L213)),7/6,1) *
IF(OR(ISNUMBER(SEARCH("Melee",$L213)),ISNUMBER(SEARCH("Bypass",$L213))),1.5,1)</f>
        <v>0.625</v>
      </c>
      <c r="AF213" s="17" cm="1">
        <f t="array" ref="AF213">$H213 *
IF(ISNUMBER(SEARCH("Rapid",$L213)),7/6,1) *
IF(OR(ISNUMBER(SEARCH("Beam",$L213)),ISNUMBER(SEARCH("Firestorm",$L213))),1, IF(ISNUMBER(SEARCH("Blast",$L213)),(4+$F213+(2-$F213)*0.5)/6*2,(4+$F213)/6)) *
IF(ISNUMBER(SEARCH("Fusion",$L213)), _xlfn.IFS(AF$24-$I213 &lt;=1, 9/10, AF$24-$I213 &lt;=10,(11-(AF$24-$I213))/10, AF$24-$I213 &gt;=11, 0),
_xlfn.IFS(AF$24-$I213 &lt;=1, 5/6, AF$24-$I213 &lt;=5, (7-(AF$24-$I213))/6, AND(AF$24-$I213 =6,NOT(_xlfn.IFNA(ISNUMBER(SEARCH("Rending",$L213)),FALSE))), (7-(AF$24-$I213))/6, AND(AF$24-$I213 &gt;=7,NOT(_xlfn.IFNA(ISNUMBER(SEARCH("Rending",$L213)),FALSE))), 0, AF$24-$I213 =7, (7-(AF$24-1-$I213))/6, AF$24-$I213 =8, (7-(AF$24-2-$I213))/6*2/3, AF$24-$I213 =9, (7-(AF$24-3-$I213))/6*1/3, TRUE, 0)) *
IF(ISNUMBER(SEARCH("Ordinance",$L213)),7/6,1) *
IF(OR(ISNUMBER(SEARCH("Melee",$L213)),ISNUMBER(SEARCH("Bypass",$L213))),1.5,1)</f>
        <v>0.41666666666666669</v>
      </c>
      <c r="AG213" s="16">
        <f t="shared" si="67"/>
        <v>0</v>
      </c>
      <c r="AH213" s="16">
        <f t="shared" si="68"/>
        <v>0</v>
      </c>
      <c r="AI213" s="17" cm="1">
        <f t="array" ref="AI213">$H213 *
IF(ISNUMBER(SEARCH("Rapid",$L213)),7/6,1) *
IF(OR(ISNUMBER(SEARCH("Beam",$L213)),ISNUMBER(SEARCH("Firestorm",$L213))),1, IF(ISNUMBER(SEARCH("Blast",$L213)),(4+$G213+(2-$G213)*0.5)/6*2,(4+$G213)/6)) *
_xlfn.IFS(AI$24-$I213 &lt;=1, 5/6, AI$24-$I213 &lt;=5, (7-(AI$24-$I213))/6, AND(AI$24-$I213 =6,NOT(_xlfn.IFNA(ISNUMBER(SEARCH("Rending",$L213)),FALSE))), (7-(AI$24-$I213))/6, AND(AI$24-$I213 &gt;=7,NOT(_xlfn.IFNA(ISNUMBER(SEARCH("Rending",$L213)),FALSE))), 0, AI$24-$I213 =7, (7-(AI$24-1-$I213))/6, AI$24-$I213 =8, (7-(AI$24-2-$I213))/6*2/3, AI$24-$I213 =9, (7-(AI$24-3-$I213))/6*1/3, TRUE, 0) *
IF(ISNUMBER(SEARCH("Ordinance",$L213)),7/6,1) *
IF(OR(ISNUMBER(SEARCH("Melee",$L213)),ISNUMBER(SEARCH("Bypass",$L213))),1.5,1)</f>
        <v>2.5</v>
      </c>
      <c r="AJ213" s="17" cm="1">
        <f t="array" ref="AJ213">$H213 *
IF(ISNUMBER(SEARCH("Rapid",$L213)),7/6,1) *
IF(OR(ISNUMBER(SEARCH("Beam",$L213)),ISNUMBER(SEARCH("Firestorm",$L213))),1, IF(ISNUMBER(SEARCH("Blast",$L213)),(4+$G213+(2-$G213)*0.5)/6*2,(4+$G213)/6)) *
_xlfn.IFS(AJ$24-$I213 &lt;=1, 5/6, AJ$24-$I213 &lt;=5, (7-(AJ$24-$I213))/6, AND(AJ$24-$I213 =6,NOT(_xlfn.IFNA(ISNUMBER(SEARCH("Rending",$L213)),FALSE))), (7-(AJ$24-$I213))/6, AND(AJ$24-$I213 &gt;=7,NOT(_xlfn.IFNA(ISNUMBER(SEARCH("Rending",$L213)),FALSE))), 0, AJ$24-$I213 =7, (7-(AJ$24-1-$I213))/6, AJ$24-$I213 =8, (7-(AJ$24-2-$I213))/6*2/3, AJ$24-$I213 =9, (7-(AJ$24-3-$I213))/6*1/3, TRUE, 0) *
IF(ISNUMBER(SEARCH("Ordinance",$L213)),7/6,1) *
IF(OR(ISNUMBER(SEARCH("Melee",$L213)),ISNUMBER(SEARCH("Bypass",$L213))),1.5,1)</f>
        <v>2.5</v>
      </c>
      <c r="AK213" s="17" cm="1">
        <f t="array" ref="AK213">$H213 *
IF(ISNUMBER(SEARCH("Rapid",$L213)),7/6,1) *
IF(OR(ISNUMBER(SEARCH("Beam",$L213)),ISNUMBER(SEARCH("Firestorm",$L213))),1, IF(ISNUMBER(SEARCH("Blast",$L213)),(4+$G213+(2-$G213)*0.5)/6*2,(4+$G213)/6)) *
_xlfn.IFS(AK$24-$I213 &lt;=1, 5/6, AK$24-$I213 &lt;=5, (7-(AK$24-$I213))/6, AND(AK$24-$I213 =6,NOT(_xlfn.IFNA(ISNUMBER(SEARCH("Rending",$L213)),FALSE))), (7-(AK$24-$I213))/6, AND(AK$24-$I213 &gt;=7,NOT(_xlfn.IFNA(ISNUMBER(SEARCH("Rending",$L213)),FALSE))), 0, AK$24-$I213 =7, (7-(AK$24-1-$I213))/6, AK$24-$I213 =8, (7-(AK$24-2-$I213))/6*2/3, AK$24-$I213 =9, (7-(AK$24-3-$I213))/6*1/3, TRUE, 0) *
IF(ISNUMBER(SEARCH("Ordinance",$L213)),7/6,1) *
IF(OR(ISNUMBER(SEARCH("Melee",$L213)),ISNUMBER(SEARCH("Bypass",$L213))),1.5,1)</f>
        <v>2.5</v>
      </c>
      <c r="AL213" s="17" cm="1">
        <f t="array" ref="AL213">$H213 *
IF(ISNUMBER(SEARCH("Rapid",$L213)),7/6,1) *
IF(OR(ISNUMBER(SEARCH("Beam",$L213)),ISNUMBER(SEARCH("Firestorm",$L213))),1, IF(ISNUMBER(SEARCH("Blast",$L213)),(4+$G213+(2-$G213)*0.5)/6*2,(4+$G213)/6)) *
_xlfn.IFS(AL$24-$I213 &lt;=1, 5/6, AL$24-$I213 &lt;=5, (7-(AL$24-$I213))/6, AND(AL$24-$I213 =6,NOT(_xlfn.IFNA(ISNUMBER(SEARCH("Rending",$L213)),FALSE))), (7-(AL$24-$I213))/6, AND(AL$24-$I213 &gt;=7,NOT(_xlfn.IFNA(ISNUMBER(SEARCH("Rending",$L213)),FALSE))), 0, AL$24-$I213 =7, (7-(AL$24-1-$I213))/6, AL$24-$I213 =8, (7-(AL$24-2-$I213))/6*2/3, AL$24-$I213 =9, (7-(AL$24-3-$I213))/6*1/3, TRUE, 0) *
IF(ISNUMBER(SEARCH("Ordinance",$L213)),7/6,1) *
IF(OR(ISNUMBER(SEARCH("Melee",$L213)),ISNUMBER(SEARCH("Bypass",$L213))),1.5,1)</f>
        <v>2</v>
      </c>
      <c r="AM213" s="17" cm="1">
        <f t="array" ref="AM213">$H213 *
IF(ISNUMBER(SEARCH("Rapid",$L213)),7/6,1) *
IF(OR(ISNUMBER(SEARCH("Beam",$L213)),ISNUMBER(SEARCH("Firestorm",$L213))),1, IF(ISNUMBER(SEARCH("Blast",$L213)),(4+$G213+(2-$G213)*0.5)/6*2,(4+$G213)/6)) *
_xlfn.IFS(AM$24-$I213 &lt;=1, 5/6, AM$24-$I213 &lt;=5, (7-(AM$24-$I213))/6, AND(AM$24-$I213 =6,NOT(_xlfn.IFNA(ISNUMBER(SEARCH("Rending",$L213)),FALSE))), (7-(AM$24-$I213))/6, AND(AM$24-$I213 &gt;=7,NOT(_xlfn.IFNA(ISNUMBER(SEARCH("Rending",$L213)),FALSE))), 0, AM$24-$I213 =7, (7-(AM$24-1-$I213))/6, AM$24-$I213 =8, (7-(AM$24-2-$I213))/6*2/3, AM$24-$I213 =9, (7-(AM$24-3-$I213))/6*1/3, TRUE, 0) *
IF(ISNUMBER(SEARCH("Ordinance",$L213)),7/6,1) *
IF(OR(ISNUMBER(SEARCH("Melee",$L213)),ISNUMBER(SEARCH("Bypass",$L213))),1.5,1)</f>
        <v>1.5</v>
      </c>
      <c r="AN213" s="17" cm="1">
        <f t="array" ref="AN213">$H213 *
IF(ISNUMBER(SEARCH("Rapid",$L213)),7/6,1) *
IF(OR(ISNUMBER(SEARCH("Beam",$L213)),ISNUMBER(SEARCH("Firestorm",$L213))),1, IF(ISNUMBER(SEARCH("Blast",$L213)),(4+$G213+(2-$G213)*0.5)/6*2,(4+$G213)/6)) *
_xlfn.IFS(AN$24-$I213 &lt;=1, 5/6, AN$24-$I213 &lt;=5, (7-(AN$24-$I213))/6, AND(AN$24-$I213 =6,NOT(_xlfn.IFNA(ISNUMBER(SEARCH("Rending",$L213)),FALSE))), (7-(AN$24-$I213))/6, AND(AN$24-$I213 &gt;=7,NOT(_xlfn.IFNA(ISNUMBER(SEARCH("Rending",$L213)),FALSE))), 0, AN$24-$I213 =7, (7-(AN$24-1-$I213))/6, AN$24-$I213 =8, (7-(AN$24-2-$I213))/6*2/3, AN$24-$I213 =9, (7-(AN$24-3-$I213))/6*1/3, TRUE, 0) *
IF(ISNUMBER(SEARCH("Ordinance",$L213)),7/6,1) *
IF(OR(ISNUMBER(SEARCH("Melee",$L213)),ISNUMBER(SEARCH("Bypass",$L213))),1.5,1)</f>
        <v>1</v>
      </c>
      <c r="AO213" s="17" cm="1">
        <f t="array" ref="AO213">$H213 *
IF(ISNUMBER(SEARCH("Rapid",$L213)),7/6,1) *
IF(OR(ISNUMBER(SEARCH("Beam",$L213)),ISNUMBER(SEARCH("Firestorm",$L213))),1, IF(ISNUMBER(SEARCH("Blast",$L213)),(4+$G213+(2-$G213)*0.5)/6*2,(4+$G213)/6)) *
_xlfn.IFS(AO$24-$I213 &lt;=1, 5/6, AO$24-$I213 &lt;=5, (7-(AO$24-$I213))/6, AND(AO$24-$I213 =6,NOT(_xlfn.IFNA(ISNUMBER(SEARCH("Rending",$L213)),FALSE))), (7-(AO$24-$I213))/6, AND(AO$24-$I213 &gt;=7,NOT(_xlfn.IFNA(ISNUMBER(SEARCH("Rending",$L213)),FALSE))), 0, AO$24-$I213 =7, (7-(AO$24-1-$I213))/6, AO$24-$I213 =8, (7-(AO$24-2-$I213))/6*2/3, AO$24-$I213 =9, (7-(AO$24-3-$I213))/6*1/3, TRUE, 0) *
IF(ISNUMBER(SEARCH("Ordinance",$L213)),7/6,1) *
IF(OR(ISNUMBER(SEARCH("Melee",$L213)),ISNUMBER(SEARCH("Bypass",$L213))),1.5,1)</f>
        <v>0</v>
      </c>
      <c r="AP213" s="17" cm="1">
        <f t="array" ref="AP213">$H213 *
IF(ISNUMBER(SEARCH("Rapid",$L213)),7/6,1) *
IF(OR(ISNUMBER(SEARCH("Beam",$L213)),ISNUMBER(SEARCH("Firestorm",$L213))),1, IF(ISNUMBER(SEARCH("Blast",$L213)),(4+$G213+(2-$G213)*0.5)/6*2,(4+$G213)/6)) *
_xlfn.IFS(AP$24-$I213 &lt;=1, 5/6, AP$24-$I213 &lt;=5, (7-(AP$24-$I213))/6, AND(AP$24-$I213 =6,NOT(_xlfn.IFNA(ISNUMBER(SEARCH("Rending",$L213)),FALSE))), (7-(AP$24-$I213))/6, AND(AP$24-$I213 &gt;=7,NOT(_xlfn.IFNA(ISNUMBER(SEARCH("Rending",$L213)),FALSE))), 0, AP$24-$I213 =7, (7-(AP$24-1-$I213))/6, AP$24-$I213 =8, (7-(AP$24-2-$I213))/6*2/3, AP$24-$I213 =9, (7-(AP$24-3-$I213))/6*1/3, TRUE, 0) *
IF(ISNUMBER(SEARCH("Ordinance",$L213)),7/6,1) *
IF(OR(ISNUMBER(SEARCH("Melee",$L213)),ISNUMBER(SEARCH("Bypass",$L213))),1.5,1)</f>
        <v>0.5</v>
      </c>
      <c r="AQ213" s="17" cm="1">
        <f t="array" ref="AQ213">$H213 *
IF(ISNUMBER(SEARCH("Rapid",$L213)),7/6,1) *
IF(OR(ISNUMBER(SEARCH("Beam",$L213)),ISNUMBER(SEARCH("Firestorm",$L213))),1, IF(ISNUMBER(SEARCH("Blast",$L213)),(4+$G213+(2-$G213)*0.5)/6*2,(4+$G213)/6)) *
_xlfn.IFS(AQ$24-$I213 &lt;=1, 5/6, AQ$24-$I213 &lt;=5, (7-(AQ$24-$I213))/6, AND(AQ$24-$I213 =6,NOT(_xlfn.IFNA(ISNUMBER(SEARCH("Rending",$L213)),FALSE))), (7-(AQ$24-$I213))/6, AND(AQ$24-$I213 &gt;=7,NOT(_xlfn.IFNA(ISNUMBER(SEARCH("Rending",$L213)),FALSE))), 0, AQ$24-$I213 =7, (7-(AQ$24-1-$I213))/6, AQ$24-$I213 =8, (7-(AQ$24-2-$I213))/6*2/3, AQ$24-$I213 =9, (7-(AQ$24-3-$I213))/6*1/3, TRUE, 0) *
IF(ISNUMBER(SEARCH("Ordinance",$L213)),7/6,1) *
IF(OR(ISNUMBER(SEARCH("Melee",$L213)),ISNUMBER(SEARCH("Bypass",$L213))),1.5,1)</f>
        <v>0.33333333333333331</v>
      </c>
      <c r="AS213" s="16">
        <f>IF($E213=1,AG213*3,IF($E213=2,2*AG213,1.1*AG213))/3</f>
        <v>0</v>
      </c>
      <c r="AT213" s="16">
        <f>IF($E213=1,AH213*3,IF($E213=2,2*AH213,1.1*AH213))/3</f>
        <v>0</v>
      </c>
      <c r="AU213" s="16">
        <f>IF(D213+E213=3,
 IF(E213=3, 2.5*AI213,
  IF(E213=2, 1.8*AI213+0.7*X213,
   IF(E213=1, 0.95*AI213+1.55*X213,
    2.5*X213))),
 IF(D213+E213=2,
  IF(E213=2, 1.55*AI213,
   IF(E213 =1, 0.85*AI213+0.7*X213,
    1.55*X213)),
  IF(E213=1, 0.95*AI213,
   0.7*X213))
)/3</f>
        <v>1.6145833333333333</v>
      </c>
      <c r="AV213" s="2">
        <v>11</v>
      </c>
    </row>
    <row r="214" spans="1:48" x14ac:dyDescent="0.3">
      <c r="A214" t="s">
        <v>880</v>
      </c>
      <c r="B214" s="3">
        <v>30</v>
      </c>
      <c r="C214" s="3">
        <f>'40K9_Stats'!P22/2*(('40K9_Stats'!P22/2)/60)^0.25</f>
        <v>0</v>
      </c>
      <c r="D214" s="3">
        <v>2</v>
      </c>
      <c r="E214" s="3">
        <v>1</v>
      </c>
      <c r="F214" s="10">
        <v>0</v>
      </c>
      <c r="G214" s="10"/>
      <c r="H214" s="3">
        <v>3</v>
      </c>
      <c r="I214" s="3">
        <v>11</v>
      </c>
      <c r="J214" s="3" t="s">
        <v>548</v>
      </c>
      <c r="K214" s="3">
        <v>40</v>
      </c>
      <c r="L214" s="3" t="s">
        <v>337</v>
      </c>
      <c r="M214" s="3" t="s">
        <v>599</v>
      </c>
      <c r="N214" s="3">
        <v>11</v>
      </c>
      <c r="O214" s="3">
        <v>11</v>
      </c>
      <c r="P214" s="3">
        <v>15</v>
      </c>
      <c r="Q214" s="3" t="s">
        <v>200</v>
      </c>
      <c r="R214" s="3">
        <v>7</v>
      </c>
      <c r="S214" s="3">
        <v>9</v>
      </c>
      <c r="T214" s="3">
        <v>4</v>
      </c>
      <c r="V214" s="16">
        <f t="shared" si="65"/>
        <v>1</v>
      </c>
      <c r="W214" s="16">
        <f t="shared" si="66"/>
        <v>1.3333333333333333</v>
      </c>
      <c r="X214" s="17" cm="1">
        <f t="array" ref="X214">$H214 *
IF(ISNUMBER(SEARCH("Rapid",$L214)),7/6,1) *
IF(OR(ISNUMBER(SEARCH("Beam",$L214)),ISNUMBER(SEARCH("Firestorm",$L214))),1, IF(ISNUMBER(SEARCH("Blast",$L214)),(4+$F214+(2-$F214)*0.5)/6*2,(4+$F214)/6)) *
IF(ISNUMBER(SEARCH("Fusion",$L214)), _xlfn.IFS(X$24-$I214 &lt;=1, 9/10, X$24-$I214 &lt;=10,(11-(X$24-$I214))/10, X$24-$I214 &gt;=11, 0),
_xlfn.IFS(X$24-$I214 &lt;=1, 5/6, X$24-$I214 &lt;=5, (7-(X$24-$I214))/6, AND(X$24-$I214 =6,NOT(_xlfn.IFNA(ISNUMBER(SEARCH("Rending",$L214)),FALSE))), (7-(X$24-$I214))/6, AND(X$24-$I214 &gt;=7,NOT(_xlfn.IFNA(ISNUMBER(SEARCH("Rending",$L214)),FALSE))), 0, X$24-$I214 =7, (7-(X$24-1-$I214))/6, X$24-$I214 =8, (7-(X$24-2-$I214))/6*2/3, X$24-$I214 =9, (7-(X$24-3-$I214))/6*1/3, TRUE, 0)) *
IF(ISNUMBER(SEARCH("Ordinance",$L214)),7/6,1) *
IF(OR(ISNUMBER(SEARCH("Melee",$L214)),ISNUMBER(SEARCH("Bypass",$L214))),1.5,1)</f>
        <v>1.6666666666666667</v>
      </c>
      <c r="Y214" s="17" cm="1">
        <f t="array" ref="Y214">$H214 *
IF(ISNUMBER(SEARCH("Rapid",$L214)),7/6,1) *
IF(OR(ISNUMBER(SEARCH("Beam",$L214)),ISNUMBER(SEARCH("Firestorm",$L214))),1, IF(ISNUMBER(SEARCH("Blast",$L214)),(4+$F214+(2-$F214)*0.5)/6*2,(4+$F214)/6)) *
IF(ISNUMBER(SEARCH("Fusion",$L214)), _xlfn.IFS(Y$24-$I214 &lt;=1, 9/10, Y$24-$I214 &lt;=10,(11-(Y$24-$I214))/10, Y$24-$I214 &gt;=11, 0),
_xlfn.IFS(Y$24-$I214 &lt;=1, 5/6, Y$24-$I214 &lt;=5, (7-(Y$24-$I214))/6, AND(Y$24-$I214 =6,NOT(_xlfn.IFNA(ISNUMBER(SEARCH("Rending",$L214)),FALSE))), (7-(Y$24-$I214))/6, AND(Y$24-$I214 &gt;=7,NOT(_xlfn.IFNA(ISNUMBER(SEARCH("Rending",$L214)),FALSE))), 0, Y$24-$I214 =7, (7-(Y$24-1-$I214))/6, Y$24-$I214 =8, (7-(Y$24-2-$I214))/6*2/3, Y$24-$I214 =9, (7-(Y$24-3-$I214))/6*1/3, TRUE, 0)) *
IF(ISNUMBER(SEARCH("Ordinance",$L214)),7/6,1) *
IF(OR(ISNUMBER(SEARCH("Melee",$L214)),ISNUMBER(SEARCH("Bypass",$L214))),1.5,1)</f>
        <v>1.6666666666666667</v>
      </c>
      <c r="Z214" s="17" cm="1">
        <f t="array" ref="Z214">$H214 *
IF(ISNUMBER(SEARCH("Rapid",$L214)),7/6,1) *
IF(OR(ISNUMBER(SEARCH("Beam",$L214)),ISNUMBER(SEARCH("Firestorm",$L214))),1, IF(ISNUMBER(SEARCH("Blast",$L214)),(4+$F214+(2-$F214)*0.5)/6*2,(4+$F214)/6)) *
IF(ISNUMBER(SEARCH("Fusion",$L214)), _xlfn.IFS(Z$24-$I214 &lt;=1, 9/10, Z$24-$I214 &lt;=10,(11-(Z$24-$I214))/10, Z$24-$I214 &gt;=11, 0),
_xlfn.IFS(Z$24-$I214 &lt;=1, 5/6, Z$24-$I214 &lt;=5, (7-(Z$24-$I214))/6, AND(Z$24-$I214 =6,NOT(_xlfn.IFNA(ISNUMBER(SEARCH("Rending",$L214)),FALSE))), (7-(Z$24-$I214))/6, AND(Z$24-$I214 &gt;=7,NOT(_xlfn.IFNA(ISNUMBER(SEARCH("Rending",$L214)),FALSE))), 0, Z$24-$I214 =7, (7-(Z$24-1-$I214))/6, Z$24-$I214 =8, (7-(Z$24-2-$I214))/6*2/3, Z$24-$I214 =9, (7-(Z$24-3-$I214))/6*1/3, TRUE, 0)) *
IF(ISNUMBER(SEARCH("Ordinance",$L214)),7/6,1) *
IF(OR(ISNUMBER(SEARCH("Melee",$L214)),ISNUMBER(SEARCH("Bypass",$L214))),1.5,1)</f>
        <v>1.6666666666666667</v>
      </c>
      <c r="AA214" s="17" cm="1">
        <f t="array" ref="AA214">$H214 *
IF(ISNUMBER(SEARCH("Rapid",$L214)),7/6,1) *
IF(OR(ISNUMBER(SEARCH("Beam",$L214)),ISNUMBER(SEARCH("Firestorm",$L214))),1, IF(ISNUMBER(SEARCH("Blast",$L214)),(4+$F214+(2-$F214)*0.5)/6*2,(4+$F214)/6)) *
IF(ISNUMBER(SEARCH("Fusion",$L214)), _xlfn.IFS(AA$24-$I214 &lt;=1, 9/10, AA$24-$I214 &lt;=10,(11-(AA$24-$I214))/10, AA$24-$I214 &gt;=11, 0),
_xlfn.IFS(AA$24-$I214 &lt;=1, 5/6, AA$24-$I214 &lt;=5, (7-(AA$24-$I214))/6, AND(AA$24-$I214 =6,NOT(_xlfn.IFNA(ISNUMBER(SEARCH("Rending",$L214)),FALSE))), (7-(AA$24-$I214))/6, AND(AA$24-$I214 &gt;=7,NOT(_xlfn.IFNA(ISNUMBER(SEARCH("Rending",$L214)),FALSE))), 0, AA$24-$I214 =7, (7-(AA$24-1-$I214))/6, AA$24-$I214 =8, (7-(AA$24-2-$I214))/6*2/3, AA$24-$I214 =9, (7-(AA$24-3-$I214))/6*1/3, TRUE, 0)) *
IF(ISNUMBER(SEARCH("Ordinance",$L214)),7/6,1) *
IF(OR(ISNUMBER(SEARCH("Melee",$L214)),ISNUMBER(SEARCH("Bypass",$L214))),1.5,1)</f>
        <v>1.6666666666666667</v>
      </c>
      <c r="AB214" s="17" cm="1">
        <f t="array" ref="AB214">$H214 *
IF(ISNUMBER(SEARCH("Rapid",$L214)),7/6,1) *
IF(OR(ISNUMBER(SEARCH("Beam",$L214)),ISNUMBER(SEARCH("Firestorm",$L214))),1, IF(ISNUMBER(SEARCH("Blast",$L214)),(4+$F214+(2-$F214)*0.5)/6*2,(4+$F214)/6)) *
IF(ISNUMBER(SEARCH("Fusion",$L214)), _xlfn.IFS(AB$24-$I214 &lt;=1, 9/10, AB$24-$I214 &lt;=10,(11-(AB$24-$I214))/10, AB$24-$I214 &gt;=11, 0),
_xlfn.IFS(AB$24-$I214 &lt;=1, 5/6, AB$24-$I214 &lt;=5, (7-(AB$24-$I214))/6, AND(AB$24-$I214 =6,NOT(_xlfn.IFNA(ISNUMBER(SEARCH("Rending",$L214)),FALSE))), (7-(AB$24-$I214))/6, AND(AB$24-$I214 &gt;=7,NOT(_xlfn.IFNA(ISNUMBER(SEARCH("Rending",$L214)),FALSE))), 0, AB$24-$I214 =7, (7-(AB$24-1-$I214))/6, AB$24-$I214 =8, (7-(AB$24-2-$I214))/6*2/3, AB$24-$I214 =9, (7-(AB$24-3-$I214))/6*1/3, TRUE, 0)) *
IF(ISNUMBER(SEARCH("Ordinance",$L214)),7/6,1) *
IF(OR(ISNUMBER(SEARCH("Melee",$L214)),ISNUMBER(SEARCH("Bypass",$L214))),1.5,1)</f>
        <v>1.6666666666666667</v>
      </c>
      <c r="AC214" s="17" cm="1">
        <f t="array" ref="AC214">$H214 *
IF(ISNUMBER(SEARCH("Rapid",$L214)),7/6,1) *
IF(OR(ISNUMBER(SEARCH("Beam",$L214)),ISNUMBER(SEARCH("Firestorm",$L214))),1, IF(ISNUMBER(SEARCH("Blast",$L214)),(4+$F214+(2-$F214)*0.5)/6*2,(4+$F214)/6)) *
IF(ISNUMBER(SEARCH("Fusion",$L214)), _xlfn.IFS(AC$24-$I214 &lt;=1, 9/10, AC$24-$I214 &lt;=10,(11-(AC$24-$I214))/10, AC$24-$I214 &gt;=11, 0),
_xlfn.IFS(AC$24-$I214 &lt;=1, 5/6, AC$24-$I214 &lt;=5, (7-(AC$24-$I214))/6, AND(AC$24-$I214 =6,NOT(_xlfn.IFNA(ISNUMBER(SEARCH("Rending",$L214)),FALSE))), (7-(AC$24-$I214))/6, AND(AC$24-$I214 &gt;=7,NOT(_xlfn.IFNA(ISNUMBER(SEARCH("Rending",$L214)),FALSE))), 0, AC$24-$I214 =7, (7-(AC$24-1-$I214))/6, AC$24-$I214 =8, (7-(AC$24-2-$I214))/6*2/3, AC$24-$I214 =9, (7-(AC$24-3-$I214))/6*1/3, TRUE, 0)) *
IF(ISNUMBER(SEARCH("Ordinance",$L214)),7/6,1) *
IF(OR(ISNUMBER(SEARCH("Melee",$L214)),ISNUMBER(SEARCH("Bypass",$L214))),1.5,1)</f>
        <v>1.3333333333333333</v>
      </c>
      <c r="AD214" s="17" cm="1">
        <f t="array" ref="AD214">$H214 *
IF(ISNUMBER(SEARCH("Rapid",$L214)),7/6,1) *
IF(OR(ISNUMBER(SEARCH("Beam",$L214)),ISNUMBER(SEARCH("Firestorm",$L214))),1, IF(ISNUMBER(SEARCH("Blast",$L214)),(4+$F214+(2-$F214)*0.5)/6*2,(4+$F214)/6)) *
IF(ISNUMBER(SEARCH("Fusion",$L214)), _xlfn.IFS(AD$24-$I214 &lt;=1, 9/10, AD$24-$I214 &lt;=10,(11-(AD$24-$I214))/10, AD$24-$I214 &gt;=11, 0),
_xlfn.IFS(AD$24-$I214 &lt;=1, 5/6, AD$24-$I214 &lt;=5, (7-(AD$24-$I214))/6, AND(AD$24-$I214 =6,NOT(_xlfn.IFNA(ISNUMBER(SEARCH("Rending",$L214)),FALSE))), (7-(AD$24-$I214))/6, AND(AD$24-$I214 &gt;=7,NOT(_xlfn.IFNA(ISNUMBER(SEARCH("Rending",$L214)),FALSE))), 0, AD$24-$I214 =7, (7-(AD$24-1-$I214))/6, AD$24-$I214 =8, (7-(AD$24-2-$I214))/6*2/3, AD$24-$I214 =9, (7-(AD$24-3-$I214))/6*1/3, TRUE, 0)) *
IF(ISNUMBER(SEARCH("Ordinance",$L214)),7/6,1) *
IF(OR(ISNUMBER(SEARCH("Melee",$L214)),ISNUMBER(SEARCH("Bypass",$L214))),1.5,1)</f>
        <v>1</v>
      </c>
      <c r="AE214" s="17" cm="1">
        <f t="array" ref="AE214">$H214 *
IF(ISNUMBER(SEARCH("Rapid",$L214)),7/6,1) *
IF(OR(ISNUMBER(SEARCH("Beam",$L214)),ISNUMBER(SEARCH("Firestorm",$L214))),1, IF(ISNUMBER(SEARCH("Blast",$L214)),(4+$F214+(2-$F214)*0.5)/6*2,(4+$F214)/6)) *
IF(ISNUMBER(SEARCH("Fusion",$L214)), _xlfn.IFS(AE$24-$I214 &lt;=1, 9/10, AE$24-$I214 &lt;=10,(11-(AE$24-$I214))/10, AE$24-$I214 &gt;=11, 0),
_xlfn.IFS(AE$24-$I214 &lt;=1, 5/6, AE$24-$I214 &lt;=5, (7-(AE$24-$I214))/6, AND(AE$24-$I214 =6,NOT(_xlfn.IFNA(ISNUMBER(SEARCH("Rending",$L214)),FALSE))), (7-(AE$24-$I214))/6, AND(AE$24-$I214 &gt;=7,NOT(_xlfn.IFNA(ISNUMBER(SEARCH("Rending",$L214)),FALSE))), 0, AE$24-$I214 =7, (7-(AE$24-1-$I214))/6, AE$24-$I214 =8, (7-(AE$24-2-$I214))/6*2/3, AE$24-$I214 =9, (7-(AE$24-3-$I214))/6*1/3, TRUE, 0)) *
IF(ISNUMBER(SEARCH("Ordinance",$L214)),7/6,1) *
IF(OR(ISNUMBER(SEARCH("Melee",$L214)),ISNUMBER(SEARCH("Bypass",$L214))),1.5,1)</f>
        <v>0.66666666666666663</v>
      </c>
      <c r="AF214" s="17" cm="1">
        <f t="array" ref="AF214">$H214 *
IF(ISNUMBER(SEARCH("Rapid",$L214)),7/6,1) *
IF(OR(ISNUMBER(SEARCH("Beam",$L214)),ISNUMBER(SEARCH("Firestorm",$L214))),1, IF(ISNUMBER(SEARCH("Blast",$L214)),(4+$F214+(2-$F214)*0.5)/6*2,(4+$F214)/6)) *
IF(ISNUMBER(SEARCH("Fusion",$L214)), _xlfn.IFS(AF$24-$I214 &lt;=1, 9/10, AF$24-$I214 &lt;=10,(11-(AF$24-$I214))/10, AF$24-$I214 &gt;=11, 0),
_xlfn.IFS(AF$24-$I214 &lt;=1, 5/6, AF$24-$I214 &lt;=5, (7-(AF$24-$I214))/6, AND(AF$24-$I214 =6,NOT(_xlfn.IFNA(ISNUMBER(SEARCH("Rending",$L214)),FALSE))), (7-(AF$24-$I214))/6, AND(AF$24-$I214 &gt;=7,NOT(_xlfn.IFNA(ISNUMBER(SEARCH("Rending",$L214)),FALSE))), 0, AF$24-$I214 =7, (7-(AF$24-1-$I214))/6, AF$24-$I214 =8, (7-(AF$24-2-$I214))/6*2/3, AF$24-$I214 =9, (7-(AF$24-3-$I214))/6*1/3, TRUE, 0)) *
IF(ISNUMBER(SEARCH("Ordinance",$L214)),7/6,1) *
IF(OR(ISNUMBER(SEARCH("Melee",$L214)),ISNUMBER(SEARCH("Bypass",$L214))),1.5,1)</f>
        <v>0.33333333333333331</v>
      </c>
      <c r="AG214" s="16">
        <f t="shared" si="67"/>
        <v>1</v>
      </c>
      <c r="AH214" s="16">
        <f t="shared" si="68"/>
        <v>1.3333333333333333</v>
      </c>
      <c r="AI214" s="17" cm="1">
        <f t="array" ref="AI214">$H214 *
IF(ISNUMBER(SEARCH("Rapid",$L214)),7/6,1) *
IF(OR(ISNUMBER(SEARCH("Beam",$L214)),ISNUMBER(SEARCH("Firestorm",$L214))),1, IF(ISNUMBER(SEARCH("Blast",$L214)),(4+$G214+(2-$G214)*0.5)/6*2,(4+$G214)/6)) *
_xlfn.IFS(AI$24-$I214 &lt;=1, 5/6, AI$24-$I214 &lt;=5, (7-(AI$24-$I214))/6, AND(AI$24-$I214 =6,NOT(_xlfn.IFNA(ISNUMBER(SEARCH("Rending",$L214)),FALSE))), (7-(AI$24-$I214))/6, AND(AI$24-$I214 &gt;=7,NOT(_xlfn.IFNA(ISNUMBER(SEARCH("Rending",$L214)),FALSE))), 0, AI$24-$I214 =7, (7-(AI$24-1-$I214))/6, AI$24-$I214 =8, (7-(AI$24-2-$I214))/6*2/3, AI$24-$I214 =9, (7-(AI$24-3-$I214))/6*1/3, TRUE, 0) *
IF(ISNUMBER(SEARCH("Ordinance",$L214)),7/6,1) *
IF(OR(ISNUMBER(SEARCH("Melee",$L214)),ISNUMBER(SEARCH("Bypass",$L214))),1.5,1)</f>
        <v>1.6666666666666667</v>
      </c>
      <c r="AJ214" s="17" cm="1">
        <f t="array" ref="AJ214">$H214 *
IF(ISNUMBER(SEARCH("Rapid",$L214)),7/6,1) *
IF(OR(ISNUMBER(SEARCH("Beam",$L214)),ISNUMBER(SEARCH("Firestorm",$L214))),1, IF(ISNUMBER(SEARCH("Blast",$L214)),(4+$G214+(2-$G214)*0.5)/6*2,(4+$G214)/6)) *
_xlfn.IFS(AJ$24-$I214 &lt;=1, 5/6, AJ$24-$I214 &lt;=5, (7-(AJ$24-$I214))/6, AND(AJ$24-$I214 =6,NOT(_xlfn.IFNA(ISNUMBER(SEARCH("Rending",$L214)),FALSE))), (7-(AJ$24-$I214))/6, AND(AJ$24-$I214 &gt;=7,NOT(_xlfn.IFNA(ISNUMBER(SEARCH("Rending",$L214)),FALSE))), 0, AJ$24-$I214 =7, (7-(AJ$24-1-$I214))/6, AJ$24-$I214 =8, (7-(AJ$24-2-$I214))/6*2/3, AJ$24-$I214 =9, (7-(AJ$24-3-$I214))/6*1/3, TRUE, 0) *
IF(ISNUMBER(SEARCH("Ordinance",$L214)),7/6,1) *
IF(OR(ISNUMBER(SEARCH("Melee",$L214)),ISNUMBER(SEARCH("Bypass",$L214))),1.5,1)</f>
        <v>1.6666666666666667</v>
      </c>
      <c r="AK214" s="17" cm="1">
        <f t="array" ref="AK214">$H214 *
IF(ISNUMBER(SEARCH("Rapid",$L214)),7/6,1) *
IF(OR(ISNUMBER(SEARCH("Beam",$L214)),ISNUMBER(SEARCH("Firestorm",$L214))),1, IF(ISNUMBER(SEARCH("Blast",$L214)),(4+$G214+(2-$G214)*0.5)/6*2,(4+$G214)/6)) *
_xlfn.IFS(AK$24-$I214 &lt;=1, 5/6, AK$24-$I214 &lt;=5, (7-(AK$24-$I214))/6, AND(AK$24-$I214 =6,NOT(_xlfn.IFNA(ISNUMBER(SEARCH("Rending",$L214)),FALSE))), (7-(AK$24-$I214))/6, AND(AK$24-$I214 &gt;=7,NOT(_xlfn.IFNA(ISNUMBER(SEARCH("Rending",$L214)),FALSE))), 0, AK$24-$I214 =7, (7-(AK$24-1-$I214))/6, AK$24-$I214 =8, (7-(AK$24-2-$I214))/6*2/3, AK$24-$I214 =9, (7-(AK$24-3-$I214))/6*1/3, TRUE, 0) *
IF(ISNUMBER(SEARCH("Ordinance",$L214)),7/6,1) *
IF(OR(ISNUMBER(SEARCH("Melee",$L214)),ISNUMBER(SEARCH("Bypass",$L214))),1.5,1)</f>
        <v>1.6666666666666667</v>
      </c>
      <c r="AL214" s="17" cm="1">
        <f t="array" ref="AL214">$H214 *
IF(ISNUMBER(SEARCH("Rapid",$L214)),7/6,1) *
IF(OR(ISNUMBER(SEARCH("Beam",$L214)),ISNUMBER(SEARCH("Firestorm",$L214))),1, IF(ISNUMBER(SEARCH("Blast",$L214)),(4+$G214+(2-$G214)*0.5)/6*2,(4+$G214)/6)) *
_xlfn.IFS(AL$24-$I214 &lt;=1, 5/6, AL$24-$I214 &lt;=5, (7-(AL$24-$I214))/6, AND(AL$24-$I214 =6,NOT(_xlfn.IFNA(ISNUMBER(SEARCH("Rending",$L214)),FALSE))), (7-(AL$24-$I214))/6, AND(AL$24-$I214 &gt;=7,NOT(_xlfn.IFNA(ISNUMBER(SEARCH("Rending",$L214)),FALSE))), 0, AL$24-$I214 =7, (7-(AL$24-1-$I214))/6, AL$24-$I214 =8, (7-(AL$24-2-$I214))/6*2/3, AL$24-$I214 =9, (7-(AL$24-3-$I214))/6*1/3, TRUE, 0) *
IF(ISNUMBER(SEARCH("Ordinance",$L214)),7/6,1) *
IF(OR(ISNUMBER(SEARCH("Melee",$L214)),ISNUMBER(SEARCH("Bypass",$L214))),1.5,1)</f>
        <v>1.6666666666666667</v>
      </c>
      <c r="AM214" s="17" cm="1">
        <f t="array" ref="AM214">$H214 *
IF(ISNUMBER(SEARCH("Rapid",$L214)),7/6,1) *
IF(OR(ISNUMBER(SEARCH("Beam",$L214)),ISNUMBER(SEARCH("Firestorm",$L214))),1, IF(ISNUMBER(SEARCH("Blast",$L214)),(4+$G214+(2-$G214)*0.5)/6*2,(4+$G214)/6)) *
_xlfn.IFS(AM$24-$I214 &lt;=1, 5/6, AM$24-$I214 &lt;=5, (7-(AM$24-$I214))/6, AND(AM$24-$I214 =6,NOT(_xlfn.IFNA(ISNUMBER(SEARCH("Rending",$L214)),FALSE))), (7-(AM$24-$I214))/6, AND(AM$24-$I214 &gt;=7,NOT(_xlfn.IFNA(ISNUMBER(SEARCH("Rending",$L214)),FALSE))), 0, AM$24-$I214 =7, (7-(AM$24-1-$I214))/6, AM$24-$I214 =8, (7-(AM$24-2-$I214))/6*2/3, AM$24-$I214 =9, (7-(AM$24-3-$I214))/6*1/3, TRUE, 0) *
IF(ISNUMBER(SEARCH("Ordinance",$L214)),7/6,1) *
IF(OR(ISNUMBER(SEARCH("Melee",$L214)),ISNUMBER(SEARCH("Bypass",$L214))),1.5,1)</f>
        <v>1.6666666666666667</v>
      </c>
      <c r="AN214" s="17" cm="1">
        <f t="array" ref="AN214">$H214 *
IF(ISNUMBER(SEARCH("Rapid",$L214)),7/6,1) *
IF(OR(ISNUMBER(SEARCH("Beam",$L214)),ISNUMBER(SEARCH("Firestorm",$L214))),1, IF(ISNUMBER(SEARCH("Blast",$L214)),(4+$G214+(2-$G214)*0.5)/6*2,(4+$G214)/6)) *
_xlfn.IFS(AN$24-$I214 &lt;=1, 5/6, AN$24-$I214 &lt;=5, (7-(AN$24-$I214))/6, AND(AN$24-$I214 =6,NOT(_xlfn.IFNA(ISNUMBER(SEARCH("Rending",$L214)),FALSE))), (7-(AN$24-$I214))/6, AND(AN$24-$I214 &gt;=7,NOT(_xlfn.IFNA(ISNUMBER(SEARCH("Rending",$L214)),FALSE))), 0, AN$24-$I214 =7, (7-(AN$24-1-$I214))/6, AN$24-$I214 =8, (7-(AN$24-2-$I214))/6*2/3, AN$24-$I214 =9, (7-(AN$24-3-$I214))/6*1/3, TRUE, 0) *
IF(ISNUMBER(SEARCH("Ordinance",$L214)),7/6,1) *
IF(OR(ISNUMBER(SEARCH("Melee",$L214)),ISNUMBER(SEARCH("Bypass",$L214))),1.5,1)</f>
        <v>1.3333333333333333</v>
      </c>
      <c r="AO214" s="17" cm="1">
        <f t="array" ref="AO214">$H214 *
IF(ISNUMBER(SEARCH("Rapid",$L214)),7/6,1) *
IF(OR(ISNUMBER(SEARCH("Beam",$L214)),ISNUMBER(SEARCH("Firestorm",$L214))),1, IF(ISNUMBER(SEARCH("Blast",$L214)),(4+$G214+(2-$G214)*0.5)/6*2,(4+$G214)/6)) *
_xlfn.IFS(AO$24-$I214 &lt;=1, 5/6, AO$24-$I214 &lt;=5, (7-(AO$24-$I214))/6, AND(AO$24-$I214 =6,NOT(_xlfn.IFNA(ISNUMBER(SEARCH("Rending",$L214)),FALSE))), (7-(AO$24-$I214))/6, AND(AO$24-$I214 &gt;=7,NOT(_xlfn.IFNA(ISNUMBER(SEARCH("Rending",$L214)),FALSE))), 0, AO$24-$I214 =7, (7-(AO$24-1-$I214))/6, AO$24-$I214 =8, (7-(AO$24-2-$I214))/6*2/3, AO$24-$I214 =9, (7-(AO$24-3-$I214))/6*1/3, TRUE, 0) *
IF(ISNUMBER(SEARCH("Ordinance",$L214)),7/6,1) *
IF(OR(ISNUMBER(SEARCH("Melee",$L214)),ISNUMBER(SEARCH("Bypass",$L214))),1.5,1)</f>
        <v>1</v>
      </c>
      <c r="AP214" s="17" cm="1">
        <f t="array" ref="AP214">$H214 *
IF(ISNUMBER(SEARCH("Rapid",$L214)),7/6,1) *
IF(OR(ISNUMBER(SEARCH("Beam",$L214)),ISNUMBER(SEARCH("Firestorm",$L214))),1, IF(ISNUMBER(SEARCH("Blast",$L214)),(4+$G214+(2-$G214)*0.5)/6*2,(4+$G214)/6)) *
_xlfn.IFS(AP$24-$I214 &lt;=1, 5/6, AP$24-$I214 &lt;=5, (7-(AP$24-$I214))/6, AND(AP$24-$I214 =6,NOT(_xlfn.IFNA(ISNUMBER(SEARCH("Rending",$L214)),FALSE))), (7-(AP$24-$I214))/6, AND(AP$24-$I214 &gt;=7,NOT(_xlfn.IFNA(ISNUMBER(SEARCH("Rending",$L214)),FALSE))), 0, AP$24-$I214 =7, (7-(AP$24-1-$I214))/6, AP$24-$I214 =8, (7-(AP$24-2-$I214))/6*2/3, AP$24-$I214 =9, (7-(AP$24-3-$I214))/6*1/3, TRUE, 0) *
IF(ISNUMBER(SEARCH("Ordinance",$L214)),7/6,1) *
IF(OR(ISNUMBER(SEARCH("Melee",$L214)),ISNUMBER(SEARCH("Bypass",$L214))),1.5,1)</f>
        <v>0.66666666666666663</v>
      </c>
      <c r="AQ214" s="17" cm="1">
        <f t="array" ref="AQ214">$H214 *
IF(ISNUMBER(SEARCH("Rapid",$L214)),7/6,1) *
IF(OR(ISNUMBER(SEARCH("Beam",$L214)),ISNUMBER(SEARCH("Firestorm",$L214))),1, IF(ISNUMBER(SEARCH("Blast",$L214)),(4+$G214+(2-$G214)*0.5)/6*2,(4+$G214)/6)) *
_xlfn.IFS(AQ$24-$I214 &lt;=1, 5/6, AQ$24-$I214 &lt;=5, (7-(AQ$24-$I214))/6, AND(AQ$24-$I214 =6,NOT(_xlfn.IFNA(ISNUMBER(SEARCH("Rending",$L214)),FALSE))), (7-(AQ$24-$I214))/6, AND(AQ$24-$I214 &gt;=7,NOT(_xlfn.IFNA(ISNUMBER(SEARCH("Rending",$L214)),FALSE))), 0, AQ$24-$I214 =7, (7-(AQ$24-1-$I214))/6, AQ$24-$I214 =8, (7-(AQ$24-2-$I214))/6*2/3, AQ$24-$I214 =9, (7-(AQ$24-3-$I214))/6*1/3, TRUE, 0) *
IF(ISNUMBER(SEARCH("Ordinance",$L214)),7/6,1) *
IF(OR(ISNUMBER(SEARCH("Melee",$L214)),ISNUMBER(SEARCH("Bypass",$L214))),1.5,1)</f>
        <v>0.33333333333333331</v>
      </c>
      <c r="AS214" s="16">
        <f t="shared" ref="AS214" si="69">IF($E214=1,AG214*3,IF($E214=2,2*AG214,1.1*AG214))/3</f>
        <v>1</v>
      </c>
      <c r="AT214" s="16">
        <f t="shared" ref="AT214" si="70">IF($E214=1,AH214*3,IF($E214=2,2*AH214,1.1*AH214))/3</f>
        <v>1.3333333333333333</v>
      </c>
      <c r="AU214" s="16">
        <f>IF(D214+E214=3,
 IF(E214=3, 2.5*AI214,
  IF(E214=2, 1.8*AI214+0.7*X214,
   IF(E214=1, 0.95*AI214+1.55*X214,
    2.5*X214))),
 IF(D214+E214=2,
  IF(E214=2, 1.55*AI214,
   IF(E214 =1, 0.85*AI214+0.7*X214,
    1.55*X214)),
  IF(E214=1, 0.95*AI214,
   0.7*X214))
)/3</f>
        <v>1.3888888888888891</v>
      </c>
      <c r="AV214" s="2">
        <v>11</v>
      </c>
    </row>
    <row r="215" spans="1:48" x14ac:dyDescent="0.3">
      <c r="F215" s="10"/>
      <c r="G215" s="10"/>
      <c r="V215" s="16">
        <f t="shared" si="65"/>
        <v>0</v>
      </c>
      <c r="W215" s="16">
        <f t="shared" si="66"/>
        <v>0</v>
      </c>
      <c r="X215" s="17" cm="1">
        <f t="array" ref="X215">$H215 *
IF(ISNUMBER(SEARCH("Rapid",$L215)),7/6,1) *
IF(OR(ISNUMBER(SEARCH("Beam",$L215)),ISNUMBER(SEARCH("Firestorm",$L215))),1, IF(ISNUMBER(SEARCH("Blast",$L215)),(4+$F215+(2-$F215)*0.5)/6*2,(4+$F215)/6)) *
IF(ISNUMBER(SEARCH("Fusion",$L215)), _xlfn.IFS(X$24-$I215 &lt;=1, 9/10, X$24-$I215 &lt;=10,(11-(X$24-$I215))/10, X$24-$I215 &gt;=11, 0),
_xlfn.IFS(X$24-$I215 &lt;=1, 5/6, X$24-$I215 &lt;=5, (7-(X$24-$I215))/6, AND(X$24-$I215 =6,NOT(_xlfn.IFNA(ISNUMBER(SEARCH("Rending",$L215)),FALSE))), (7-(X$24-$I215))/6, AND(X$24-$I215 &gt;=7,NOT(_xlfn.IFNA(ISNUMBER(SEARCH("Rending",$L215)),FALSE))), 0, X$24-$I215 =7, (7-(X$24-1-$I215))/6, X$24-$I215 =8, (7-(X$24-2-$I215))/6*2/3, X$24-$I215 =9, (7-(X$24-3-$I215))/6*1/3, TRUE, 0)) *
IF(ISNUMBER(SEARCH("Ordinance",$L215)),7/6,1) *
IF(OR(ISNUMBER(SEARCH("Melee",$L215)),ISNUMBER(SEARCH("Bypass",$L215))),1.5,1)</f>
        <v>0</v>
      </c>
      <c r="Y215" s="17" cm="1">
        <f t="array" ref="Y215">$H215 *
IF(ISNUMBER(SEARCH("Rapid",$L215)),7/6,1) *
IF(OR(ISNUMBER(SEARCH("Beam",$L215)),ISNUMBER(SEARCH("Firestorm",$L215))),1, IF(ISNUMBER(SEARCH("Blast",$L215)),(4+$F215+(2-$F215)*0.5)/6*2,(4+$F215)/6)) *
IF(ISNUMBER(SEARCH("Fusion",$L215)), _xlfn.IFS(Y$24-$I215 &lt;=1, 9/10, Y$24-$I215 &lt;=10,(11-(Y$24-$I215))/10, Y$24-$I215 &gt;=11, 0),
_xlfn.IFS(Y$24-$I215 &lt;=1, 5/6, Y$24-$I215 &lt;=5, (7-(Y$24-$I215))/6, AND(Y$24-$I215 =6,NOT(_xlfn.IFNA(ISNUMBER(SEARCH("Rending",$L215)),FALSE))), (7-(Y$24-$I215))/6, AND(Y$24-$I215 &gt;=7,NOT(_xlfn.IFNA(ISNUMBER(SEARCH("Rending",$L215)),FALSE))), 0, Y$24-$I215 =7, (7-(Y$24-1-$I215))/6, Y$24-$I215 =8, (7-(Y$24-2-$I215))/6*2/3, Y$24-$I215 =9, (7-(Y$24-3-$I215))/6*1/3, TRUE, 0)) *
IF(ISNUMBER(SEARCH("Ordinance",$L215)),7/6,1) *
IF(OR(ISNUMBER(SEARCH("Melee",$L215)),ISNUMBER(SEARCH("Bypass",$L215))),1.5,1)</f>
        <v>0</v>
      </c>
      <c r="Z215" s="17" cm="1">
        <f t="array" ref="Z215">$H215 *
IF(ISNUMBER(SEARCH("Rapid",$L215)),7/6,1) *
IF(OR(ISNUMBER(SEARCH("Beam",$L215)),ISNUMBER(SEARCH("Firestorm",$L215))),1, IF(ISNUMBER(SEARCH("Blast",$L215)),(4+$F215+(2-$F215)*0.5)/6*2,(4+$F215)/6)) *
IF(ISNUMBER(SEARCH("Fusion",$L215)), _xlfn.IFS(Z$24-$I215 &lt;=1, 9/10, Z$24-$I215 &lt;=10,(11-(Z$24-$I215))/10, Z$24-$I215 &gt;=11, 0),
_xlfn.IFS(Z$24-$I215 &lt;=1, 5/6, Z$24-$I215 &lt;=5, (7-(Z$24-$I215))/6, AND(Z$24-$I215 =6,NOT(_xlfn.IFNA(ISNUMBER(SEARCH("Rending",$L215)),FALSE))), (7-(Z$24-$I215))/6, AND(Z$24-$I215 &gt;=7,NOT(_xlfn.IFNA(ISNUMBER(SEARCH("Rending",$L215)),FALSE))), 0, Z$24-$I215 =7, (7-(Z$24-1-$I215))/6, Z$24-$I215 =8, (7-(Z$24-2-$I215))/6*2/3, Z$24-$I215 =9, (7-(Z$24-3-$I215))/6*1/3, TRUE, 0)) *
IF(ISNUMBER(SEARCH("Ordinance",$L215)),7/6,1) *
IF(OR(ISNUMBER(SEARCH("Melee",$L215)),ISNUMBER(SEARCH("Bypass",$L215))),1.5,1)</f>
        <v>0</v>
      </c>
      <c r="AA215" s="17" cm="1">
        <f t="array" ref="AA215">$H215 *
IF(ISNUMBER(SEARCH("Rapid",$L215)),7/6,1) *
IF(OR(ISNUMBER(SEARCH("Beam",$L215)),ISNUMBER(SEARCH("Firestorm",$L215))),1, IF(ISNUMBER(SEARCH("Blast",$L215)),(4+$F215+(2-$F215)*0.5)/6*2,(4+$F215)/6)) *
IF(ISNUMBER(SEARCH("Fusion",$L215)), _xlfn.IFS(AA$24-$I215 &lt;=1, 9/10, AA$24-$I215 &lt;=10,(11-(AA$24-$I215))/10, AA$24-$I215 &gt;=11, 0),
_xlfn.IFS(AA$24-$I215 &lt;=1, 5/6, AA$24-$I215 &lt;=5, (7-(AA$24-$I215))/6, AND(AA$24-$I215 =6,NOT(_xlfn.IFNA(ISNUMBER(SEARCH("Rending",$L215)),FALSE))), (7-(AA$24-$I215))/6, AND(AA$24-$I215 &gt;=7,NOT(_xlfn.IFNA(ISNUMBER(SEARCH("Rending",$L215)),FALSE))), 0, AA$24-$I215 =7, (7-(AA$24-1-$I215))/6, AA$24-$I215 =8, (7-(AA$24-2-$I215))/6*2/3, AA$24-$I215 =9, (7-(AA$24-3-$I215))/6*1/3, TRUE, 0)) *
IF(ISNUMBER(SEARCH("Ordinance",$L215)),7/6,1) *
IF(OR(ISNUMBER(SEARCH("Melee",$L215)),ISNUMBER(SEARCH("Bypass",$L215))),1.5,1)</f>
        <v>0</v>
      </c>
      <c r="AB215" s="17" cm="1">
        <f t="array" ref="AB215">$H215 *
IF(ISNUMBER(SEARCH("Rapid",$L215)),7/6,1) *
IF(OR(ISNUMBER(SEARCH("Beam",$L215)),ISNUMBER(SEARCH("Firestorm",$L215))),1, IF(ISNUMBER(SEARCH("Blast",$L215)),(4+$F215+(2-$F215)*0.5)/6*2,(4+$F215)/6)) *
IF(ISNUMBER(SEARCH("Fusion",$L215)), _xlfn.IFS(AB$24-$I215 &lt;=1, 9/10, AB$24-$I215 &lt;=10,(11-(AB$24-$I215))/10, AB$24-$I215 &gt;=11, 0),
_xlfn.IFS(AB$24-$I215 &lt;=1, 5/6, AB$24-$I215 &lt;=5, (7-(AB$24-$I215))/6, AND(AB$24-$I215 =6,NOT(_xlfn.IFNA(ISNUMBER(SEARCH("Rending",$L215)),FALSE))), (7-(AB$24-$I215))/6, AND(AB$24-$I215 &gt;=7,NOT(_xlfn.IFNA(ISNUMBER(SEARCH("Rending",$L215)),FALSE))), 0, AB$24-$I215 =7, (7-(AB$24-1-$I215))/6, AB$24-$I215 =8, (7-(AB$24-2-$I215))/6*2/3, AB$24-$I215 =9, (7-(AB$24-3-$I215))/6*1/3, TRUE, 0)) *
IF(ISNUMBER(SEARCH("Ordinance",$L215)),7/6,1) *
IF(OR(ISNUMBER(SEARCH("Melee",$L215)),ISNUMBER(SEARCH("Bypass",$L215))),1.5,1)</f>
        <v>0</v>
      </c>
      <c r="AC215" s="17" cm="1">
        <f t="array" ref="AC215">$H215 *
IF(ISNUMBER(SEARCH("Rapid",$L215)),7/6,1) *
IF(OR(ISNUMBER(SEARCH("Beam",$L215)),ISNUMBER(SEARCH("Firestorm",$L215))),1, IF(ISNUMBER(SEARCH("Blast",$L215)),(4+$F215+(2-$F215)*0.5)/6*2,(4+$F215)/6)) *
IF(ISNUMBER(SEARCH("Fusion",$L215)), _xlfn.IFS(AC$24-$I215 &lt;=1, 9/10, AC$24-$I215 &lt;=10,(11-(AC$24-$I215))/10, AC$24-$I215 &gt;=11, 0),
_xlfn.IFS(AC$24-$I215 &lt;=1, 5/6, AC$24-$I215 &lt;=5, (7-(AC$24-$I215))/6, AND(AC$24-$I215 =6,NOT(_xlfn.IFNA(ISNUMBER(SEARCH("Rending",$L215)),FALSE))), (7-(AC$24-$I215))/6, AND(AC$24-$I215 &gt;=7,NOT(_xlfn.IFNA(ISNUMBER(SEARCH("Rending",$L215)),FALSE))), 0, AC$24-$I215 =7, (7-(AC$24-1-$I215))/6, AC$24-$I215 =8, (7-(AC$24-2-$I215))/6*2/3, AC$24-$I215 =9, (7-(AC$24-3-$I215))/6*1/3, TRUE, 0)) *
IF(ISNUMBER(SEARCH("Ordinance",$L215)),7/6,1) *
IF(OR(ISNUMBER(SEARCH("Melee",$L215)),ISNUMBER(SEARCH("Bypass",$L215))),1.5,1)</f>
        <v>0</v>
      </c>
      <c r="AD215" s="17" cm="1">
        <f t="array" ref="AD215">$H215 *
IF(ISNUMBER(SEARCH("Rapid",$L215)),7/6,1) *
IF(OR(ISNUMBER(SEARCH("Beam",$L215)),ISNUMBER(SEARCH("Firestorm",$L215))),1, IF(ISNUMBER(SEARCH("Blast",$L215)),(4+$F215+(2-$F215)*0.5)/6*2,(4+$F215)/6)) *
IF(ISNUMBER(SEARCH("Fusion",$L215)), _xlfn.IFS(AD$24-$I215 &lt;=1, 9/10, AD$24-$I215 &lt;=10,(11-(AD$24-$I215))/10, AD$24-$I215 &gt;=11, 0),
_xlfn.IFS(AD$24-$I215 &lt;=1, 5/6, AD$24-$I215 &lt;=5, (7-(AD$24-$I215))/6, AND(AD$24-$I215 =6,NOT(_xlfn.IFNA(ISNUMBER(SEARCH("Rending",$L215)),FALSE))), (7-(AD$24-$I215))/6, AND(AD$24-$I215 &gt;=7,NOT(_xlfn.IFNA(ISNUMBER(SEARCH("Rending",$L215)),FALSE))), 0, AD$24-$I215 =7, (7-(AD$24-1-$I215))/6, AD$24-$I215 =8, (7-(AD$24-2-$I215))/6*2/3, AD$24-$I215 =9, (7-(AD$24-3-$I215))/6*1/3, TRUE, 0)) *
IF(ISNUMBER(SEARCH("Ordinance",$L215)),7/6,1) *
IF(OR(ISNUMBER(SEARCH("Melee",$L215)),ISNUMBER(SEARCH("Bypass",$L215))),1.5,1)</f>
        <v>0</v>
      </c>
      <c r="AE215" s="17" cm="1">
        <f t="array" ref="AE215">$H215 *
IF(ISNUMBER(SEARCH("Rapid",$L215)),7/6,1) *
IF(OR(ISNUMBER(SEARCH("Beam",$L215)),ISNUMBER(SEARCH("Firestorm",$L215))),1, IF(ISNUMBER(SEARCH("Blast",$L215)),(4+$F215+(2-$F215)*0.5)/6*2,(4+$F215)/6)) *
IF(ISNUMBER(SEARCH("Fusion",$L215)), _xlfn.IFS(AE$24-$I215 &lt;=1, 9/10, AE$24-$I215 &lt;=10,(11-(AE$24-$I215))/10, AE$24-$I215 &gt;=11, 0),
_xlfn.IFS(AE$24-$I215 &lt;=1, 5/6, AE$24-$I215 &lt;=5, (7-(AE$24-$I215))/6, AND(AE$24-$I215 =6,NOT(_xlfn.IFNA(ISNUMBER(SEARCH("Rending",$L215)),FALSE))), (7-(AE$24-$I215))/6, AND(AE$24-$I215 &gt;=7,NOT(_xlfn.IFNA(ISNUMBER(SEARCH("Rending",$L215)),FALSE))), 0, AE$24-$I215 =7, (7-(AE$24-1-$I215))/6, AE$24-$I215 =8, (7-(AE$24-2-$I215))/6*2/3, AE$24-$I215 =9, (7-(AE$24-3-$I215))/6*1/3, TRUE, 0)) *
IF(ISNUMBER(SEARCH("Ordinance",$L215)),7/6,1) *
IF(OR(ISNUMBER(SEARCH("Melee",$L215)),ISNUMBER(SEARCH("Bypass",$L215))),1.5,1)</f>
        <v>0</v>
      </c>
      <c r="AF215" s="17" cm="1">
        <f t="array" ref="AF215">$H215 *
IF(ISNUMBER(SEARCH("Rapid",$L215)),7/6,1) *
IF(OR(ISNUMBER(SEARCH("Beam",$L215)),ISNUMBER(SEARCH("Firestorm",$L215))),1, IF(ISNUMBER(SEARCH("Blast",$L215)),(4+$F215+(2-$F215)*0.5)/6*2,(4+$F215)/6)) *
IF(ISNUMBER(SEARCH("Fusion",$L215)), _xlfn.IFS(AF$24-$I215 &lt;=1, 9/10, AF$24-$I215 &lt;=10,(11-(AF$24-$I215))/10, AF$24-$I215 &gt;=11, 0),
_xlfn.IFS(AF$24-$I215 &lt;=1, 5/6, AF$24-$I215 &lt;=5, (7-(AF$24-$I215))/6, AND(AF$24-$I215 =6,NOT(_xlfn.IFNA(ISNUMBER(SEARCH("Rending",$L215)),FALSE))), (7-(AF$24-$I215))/6, AND(AF$24-$I215 &gt;=7,NOT(_xlfn.IFNA(ISNUMBER(SEARCH("Rending",$L215)),FALSE))), 0, AF$24-$I215 =7, (7-(AF$24-1-$I215))/6, AF$24-$I215 =8, (7-(AF$24-2-$I215))/6*2/3, AF$24-$I215 =9, (7-(AF$24-3-$I215))/6*1/3, TRUE, 0)) *
IF(ISNUMBER(SEARCH("Ordinance",$L215)),7/6,1) *
IF(OR(ISNUMBER(SEARCH("Melee",$L215)),ISNUMBER(SEARCH("Bypass",$L215))),1.5,1)</f>
        <v>0</v>
      </c>
      <c r="AG215" s="16">
        <f t="shared" si="67"/>
        <v>0</v>
      </c>
      <c r="AH215" s="16">
        <f t="shared" si="68"/>
        <v>0</v>
      </c>
      <c r="AI215" s="17" cm="1">
        <f t="array" ref="AI215">$H215 *
IF(ISNUMBER(SEARCH("Rapid",$L215)),7/6,1) *
IF(OR(ISNUMBER(SEARCH("Beam",$L215)),ISNUMBER(SEARCH("Firestorm",$L215))),1, IF(ISNUMBER(SEARCH("Blast",$L215)),(4+$G215+(2-$G215)*0.5)/6*2,(4+$G215)/6)) *
_xlfn.IFS(AI$24-$I215 &lt;=1, 5/6, AI$24-$I215 &lt;=5, (7-(AI$24-$I215))/6, AND(AI$24-$I215 =6,NOT(_xlfn.IFNA(ISNUMBER(SEARCH("Rending",$L215)),FALSE))), (7-(AI$24-$I215))/6, AND(AI$24-$I215 &gt;=7,NOT(_xlfn.IFNA(ISNUMBER(SEARCH("Rending",$L215)),FALSE))), 0, AI$24-$I215 =7, (7-(AI$24-1-$I215))/6, AI$24-$I215 =8, (7-(AI$24-2-$I215))/6*2/3, AI$24-$I215 =9, (7-(AI$24-3-$I215))/6*1/3, TRUE, 0) *
IF(ISNUMBER(SEARCH("Ordinance",$L215)),7/6,1) *
IF(OR(ISNUMBER(SEARCH("Melee",$L215)),ISNUMBER(SEARCH("Bypass",$L215))),1.5,1)</f>
        <v>0</v>
      </c>
      <c r="AJ215" s="17" cm="1">
        <f t="array" ref="AJ215">$H215 *
IF(ISNUMBER(SEARCH("Rapid",$L215)),7/6,1) *
IF(OR(ISNUMBER(SEARCH("Beam",$L215)),ISNUMBER(SEARCH("Firestorm",$L215))),1, IF(ISNUMBER(SEARCH("Blast",$L215)),(4+$G215+(2-$G215)*0.5)/6*2,(4+$G215)/6)) *
_xlfn.IFS(AJ$24-$I215 &lt;=1, 5/6, AJ$24-$I215 &lt;=5, (7-(AJ$24-$I215))/6, AND(AJ$24-$I215 =6,NOT(_xlfn.IFNA(ISNUMBER(SEARCH("Rending",$L215)),FALSE))), (7-(AJ$24-$I215))/6, AND(AJ$24-$I215 &gt;=7,NOT(_xlfn.IFNA(ISNUMBER(SEARCH("Rending",$L215)),FALSE))), 0, AJ$24-$I215 =7, (7-(AJ$24-1-$I215))/6, AJ$24-$I215 =8, (7-(AJ$24-2-$I215))/6*2/3, AJ$24-$I215 =9, (7-(AJ$24-3-$I215))/6*1/3, TRUE, 0) *
IF(ISNUMBER(SEARCH("Ordinance",$L215)),7/6,1) *
IF(OR(ISNUMBER(SEARCH("Melee",$L215)),ISNUMBER(SEARCH("Bypass",$L215))),1.5,1)</f>
        <v>0</v>
      </c>
      <c r="AK215" s="17" cm="1">
        <f t="array" ref="AK215">$H215 *
IF(ISNUMBER(SEARCH("Rapid",$L215)),7/6,1) *
IF(OR(ISNUMBER(SEARCH("Beam",$L215)),ISNUMBER(SEARCH("Firestorm",$L215))),1, IF(ISNUMBER(SEARCH("Blast",$L215)),(4+$G215+(2-$G215)*0.5)/6*2,(4+$G215)/6)) *
_xlfn.IFS(AK$24-$I215 &lt;=1, 5/6, AK$24-$I215 &lt;=5, (7-(AK$24-$I215))/6, AND(AK$24-$I215 =6,NOT(_xlfn.IFNA(ISNUMBER(SEARCH("Rending",$L215)),FALSE))), (7-(AK$24-$I215))/6, AND(AK$24-$I215 &gt;=7,NOT(_xlfn.IFNA(ISNUMBER(SEARCH("Rending",$L215)),FALSE))), 0, AK$24-$I215 =7, (7-(AK$24-1-$I215))/6, AK$24-$I215 =8, (7-(AK$24-2-$I215))/6*2/3, AK$24-$I215 =9, (7-(AK$24-3-$I215))/6*1/3, TRUE, 0) *
IF(ISNUMBER(SEARCH("Ordinance",$L215)),7/6,1) *
IF(OR(ISNUMBER(SEARCH("Melee",$L215)),ISNUMBER(SEARCH("Bypass",$L215))),1.5,1)</f>
        <v>0</v>
      </c>
      <c r="AL215" s="17" cm="1">
        <f t="array" ref="AL215">$H215 *
IF(ISNUMBER(SEARCH("Rapid",$L215)),7/6,1) *
IF(OR(ISNUMBER(SEARCH("Beam",$L215)),ISNUMBER(SEARCH("Firestorm",$L215))),1, IF(ISNUMBER(SEARCH("Blast",$L215)),(4+$G215+(2-$G215)*0.5)/6*2,(4+$G215)/6)) *
_xlfn.IFS(AL$24-$I215 &lt;=1, 5/6, AL$24-$I215 &lt;=5, (7-(AL$24-$I215))/6, AND(AL$24-$I215 =6,NOT(_xlfn.IFNA(ISNUMBER(SEARCH("Rending",$L215)),FALSE))), (7-(AL$24-$I215))/6, AND(AL$24-$I215 &gt;=7,NOT(_xlfn.IFNA(ISNUMBER(SEARCH("Rending",$L215)),FALSE))), 0, AL$24-$I215 =7, (7-(AL$24-1-$I215))/6, AL$24-$I215 =8, (7-(AL$24-2-$I215))/6*2/3, AL$24-$I215 =9, (7-(AL$24-3-$I215))/6*1/3, TRUE, 0) *
IF(ISNUMBER(SEARCH("Ordinance",$L215)),7/6,1) *
IF(OR(ISNUMBER(SEARCH("Melee",$L215)),ISNUMBER(SEARCH("Bypass",$L215))),1.5,1)</f>
        <v>0</v>
      </c>
      <c r="AM215" s="17" cm="1">
        <f t="array" ref="AM215">$H215 *
IF(ISNUMBER(SEARCH("Rapid",$L215)),7/6,1) *
IF(OR(ISNUMBER(SEARCH("Beam",$L215)),ISNUMBER(SEARCH("Firestorm",$L215))),1, IF(ISNUMBER(SEARCH("Blast",$L215)),(4+$G215+(2-$G215)*0.5)/6*2,(4+$G215)/6)) *
_xlfn.IFS(AM$24-$I215 &lt;=1, 5/6, AM$24-$I215 &lt;=5, (7-(AM$24-$I215))/6, AND(AM$24-$I215 =6,NOT(_xlfn.IFNA(ISNUMBER(SEARCH("Rending",$L215)),FALSE))), (7-(AM$24-$I215))/6, AND(AM$24-$I215 &gt;=7,NOT(_xlfn.IFNA(ISNUMBER(SEARCH("Rending",$L215)),FALSE))), 0, AM$24-$I215 =7, (7-(AM$24-1-$I215))/6, AM$24-$I215 =8, (7-(AM$24-2-$I215))/6*2/3, AM$24-$I215 =9, (7-(AM$24-3-$I215))/6*1/3, TRUE, 0) *
IF(ISNUMBER(SEARCH("Ordinance",$L215)),7/6,1) *
IF(OR(ISNUMBER(SEARCH("Melee",$L215)),ISNUMBER(SEARCH("Bypass",$L215))),1.5,1)</f>
        <v>0</v>
      </c>
      <c r="AN215" s="17" cm="1">
        <f t="array" ref="AN215">$H215 *
IF(ISNUMBER(SEARCH("Rapid",$L215)),7/6,1) *
IF(OR(ISNUMBER(SEARCH("Beam",$L215)),ISNUMBER(SEARCH("Firestorm",$L215))),1, IF(ISNUMBER(SEARCH("Blast",$L215)),(4+$G215+(2-$G215)*0.5)/6*2,(4+$G215)/6)) *
_xlfn.IFS(AN$24-$I215 &lt;=1, 5/6, AN$24-$I215 &lt;=5, (7-(AN$24-$I215))/6, AND(AN$24-$I215 =6,NOT(_xlfn.IFNA(ISNUMBER(SEARCH("Rending",$L215)),FALSE))), (7-(AN$24-$I215))/6, AND(AN$24-$I215 &gt;=7,NOT(_xlfn.IFNA(ISNUMBER(SEARCH("Rending",$L215)),FALSE))), 0, AN$24-$I215 =7, (7-(AN$24-1-$I215))/6, AN$24-$I215 =8, (7-(AN$24-2-$I215))/6*2/3, AN$24-$I215 =9, (7-(AN$24-3-$I215))/6*1/3, TRUE, 0) *
IF(ISNUMBER(SEARCH("Ordinance",$L215)),7/6,1) *
IF(OR(ISNUMBER(SEARCH("Melee",$L215)),ISNUMBER(SEARCH("Bypass",$L215))),1.5,1)</f>
        <v>0</v>
      </c>
      <c r="AO215" s="17" cm="1">
        <f t="array" ref="AO215">$H215 *
IF(ISNUMBER(SEARCH("Rapid",$L215)),7/6,1) *
IF(OR(ISNUMBER(SEARCH("Beam",$L215)),ISNUMBER(SEARCH("Firestorm",$L215))),1, IF(ISNUMBER(SEARCH("Blast",$L215)),(4+$G215+(2-$G215)*0.5)/6*2,(4+$G215)/6)) *
_xlfn.IFS(AO$24-$I215 &lt;=1, 5/6, AO$24-$I215 &lt;=5, (7-(AO$24-$I215))/6, AND(AO$24-$I215 =6,NOT(_xlfn.IFNA(ISNUMBER(SEARCH("Rending",$L215)),FALSE))), (7-(AO$24-$I215))/6, AND(AO$24-$I215 &gt;=7,NOT(_xlfn.IFNA(ISNUMBER(SEARCH("Rending",$L215)),FALSE))), 0, AO$24-$I215 =7, (7-(AO$24-1-$I215))/6, AO$24-$I215 =8, (7-(AO$24-2-$I215))/6*2/3, AO$24-$I215 =9, (7-(AO$24-3-$I215))/6*1/3, TRUE, 0) *
IF(ISNUMBER(SEARCH("Ordinance",$L215)),7/6,1) *
IF(OR(ISNUMBER(SEARCH("Melee",$L215)),ISNUMBER(SEARCH("Bypass",$L215))),1.5,1)</f>
        <v>0</v>
      </c>
      <c r="AP215" s="17" cm="1">
        <f t="array" ref="AP215">$H215 *
IF(ISNUMBER(SEARCH("Rapid",$L215)),7/6,1) *
IF(OR(ISNUMBER(SEARCH("Beam",$L215)),ISNUMBER(SEARCH("Firestorm",$L215))),1, IF(ISNUMBER(SEARCH("Blast",$L215)),(4+$G215+(2-$G215)*0.5)/6*2,(4+$G215)/6)) *
_xlfn.IFS(AP$24-$I215 &lt;=1, 5/6, AP$24-$I215 &lt;=5, (7-(AP$24-$I215))/6, AND(AP$24-$I215 =6,NOT(_xlfn.IFNA(ISNUMBER(SEARCH("Rending",$L215)),FALSE))), (7-(AP$24-$I215))/6, AND(AP$24-$I215 &gt;=7,NOT(_xlfn.IFNA(ISNUMBER(SEARCH("Rending",$L215)),FALSE))), 0, AP$24-$I215 =7, (7-(AP$24-1-$I215))/6, AP$24-$I215 =8, (7-(AP$24-2-$I215))/6*2/3, AP$24-$I215 =9, (7-(AP$24-3-$I215))/6*1/3, TRUE, 0) *
IF(ISNUMBER(SEARCH("Ordinance",$L215)),7/6,1) *
IF(OR(ISNUMBER(SEARCH("Melee",$L215)),ISNUMBER(SEARCH("Bypass",$L215))),1.5,1)</f>
        <v>0</v>
      </c>
      <c r="AQ215" s="17" cm="1">
        <f t="array" ref="AQ215">$H215 *
IF(ISNUMBER(SEARCH("Rapid",$L215)),7/6,1) *
IF(OR(ISNUMBER(SEARCH("Beam",$L215)),ISNUMBER(SEARCH("Firestorm",$L215))),1, IF(ISNUMBER(SEARCH("Blast",$L215)),(4+$G215+(2-$G215)*0.5)/6*2,(4+$G215)/6)) *
_xlfn.IFS(AQ$24-$I215 &lt;=1, 5/6, AQ$24-$I215 &lt;=5, (7-(AQ$24-$I215))/6, AND(AQ$24-$I215 =6,NOT(_xlfn.IFNA(ISNUMBER(SEARCH("Rending",$L215)),FALSE))), (7-(AQ$24-$I215))/6, AND(AQ$24-$I215 &gt;=7,NOT(_xlfn.IFNA(ISNUMBER(SEARCH("Rending",$L215)),FALSE))), 0, AQ$24-$I215 =7, (7-(AQ$24-1-$I215))/6, AQ$24-$I215 =8, (7-(AQ$24-2-$I215))/6*2/3, AQ$24-$I215 =9, (7-(AQ$24-3-$I215))/6*1/3, TRUE, 0) *
IF(ISNUMBER(SEARCH("Ordinance",$L215)),7/6,1) *
IF(OR(ISNUMBER(SEARCH("Melee",$L215)),ISNUMBER(SEARCH("Bypass",$L215))),1.5,1)</f>
        <v>0</v>
      </c>
      <c r="AS215" s="16"/>
      <c r="AT215" s="16"/>
      <c r="AU215" s="16"/>
    </row>
    <row r="216" spans="1:48" x14ac:dyDescent="0.3">
      <c r="F216" s="10"/>
      <c r="G216" s="10"/>
      <c r="V216" s="16">
        <f t="shared" si="65"/>
        <v>0</v>
      </c>
      <c r="W216" s="16">
        <f t="shared" si="66"/>
        <v>0</v>
      </c>
      <c r="X216" s="17" cm="1">
        <f t="array" ref="X216">$H216 *
IF(ISNUMBER(SEARCH("Rapid",$L216)),7/6,1) *
IF(OR(ISNUMBER(SEARCH("Beam",$L216)),ISNUMBER(SEARCH("Firestorm",$L216))),1, IF(ISNUMBER(SEARCH("Blast",$L216)),(4+$F216+(2-$F216)*0.5)/6*2,(4+$F216)/6)) *
IF(ISNUMBER(SEARCH("Fusion",$L216)), _xlfn.IFS(X$24-$I216 &lt;=1, 9/10, X$24-$I216 &lt;=10,(11-(X$24-$I216))/10, X$24-$I216 &gt;=11, 0),
_xlfn.IFS(X$24-$I216 &lt;=1, 5/6, X$24-$I216 &lt;=5, (7-(X$24-$I216))/6, AND(X$24-$I216 =6,NOT(_xlfn.IFNA(ISNUMBER(SEARCH("Rending",$L216)),FALSE))), (7-(X$24-$I216))/6, AND(X$24-$I216 &gt;=7,NOT(_xlfn.IFNA(ISNUMBER(SEARCH("Rending",$L216)),FALSE))), 0, X$24-$I216 =7, (7-(X$24-1-$I216))/6, X$24-$I216 =8, (7-(X$24-2-$I216))/6*2/3, X$24-$I216 =9, (7-(X$24-3-$I216))/6*1/3, TRUE, 0)) *
IF(ISNUMBER(SEARCH("Ordinance",$L216)),7/6,1) *
IF(OR(ISNUMBER(SEARCH("Melee",$L216)),ISNUMBER(SEARCH("Bypass",$L216))),1.5,1)</f>
        <v>0</v>
      </c>
      <c r="Y216" s="17" cm="1">
        <f t="array" ref="Y216">$H216 *
IF(ISNUMBER(SEARCH("Rapid",$L216)),7/6,1) *
IF(OR(ISNUMBER(SEARCH("Beam",$L216)),ISNUMBER(SEARCH("Firestorm",$L216))),1, IF(ISNUMBER(SEARCH("Blast",$L216)),(4+$F216+(2-$F216)*0.5)/6*2,(4+$F216)/6)) *
IF(ISNUMBER(SEARCH("Fusion",$L216)), _xlfn.IFS(Y$24-$I216 &lt;=1, 9/10, Y$24-$I216 &lt;=10,(11-(Y$24-$I216))/10, Y$24-$I216 &gt;=11, 0),
_xlfn.IFS(Y$24-$I216 &lt;=1, 5/6, Y$24-$I216 &lt;=5, (7-(Y$24-$I216))/6, AND(Y$24-$I216 =6,NOT(_xlfn.IFNA(ISNUMBER(SEARCH("Rending",$L216)),FALSE))), (7-(Y$24-$I216))/6, AND(Y$24-$I216 &gt;=7,NOT(_xlfn.IFNA(ISNUMBER(SEARCH("Rending",$L216)),FALSE))), 0, Y$24-$I216 =7, (7-(Y$24-1-$I216))/6, Y$24-$I216 =8, (7-(Y$24-2-$I216))/6*2/3, Y$24-$I216 =9, (7-(Y$24-3-$I216))/6*1/3, TRUE, 0)) *
IF(ISNUMBER(SEARCH("Ordinance",$L216)),7/6,1) *
IF(OR(ISNUMBER(SEARCH("Melee",$L216)),ISNUMBER(SEARCH("Bypass",$L216))),1.5,1)</f>
        <v>0</v>
      </c>
      <c r="Z216" s="17" cm="1">
        <f t="array" ref="Z216">$H216 *
IF(ISNUMBER(SEARCH("Rapid",$L216)),7/6,1) *
IF(OR(ISNUMBER(SEARCH("Beam",$L216)),ISNUMBER(SEARCH("Firestorm",$L216))),1, IF(ISNUMBER(SEARCH("Blast",$L216)),(4+$F216+(2-$F216)*0.5)/6*2,(4+$F216)/6)) *
IF(ISNUMBER(SEARCH("Fusion",$L216)), _xlfn.IFS(Z$24-$I216 &lt;=1, 9/10, Z$24-$I216 &lt;=10,(11-(Z$24-$I216))/10, Z$24-$I216 &gt;=11, 0),
_xlfn.IFS(Z$24-$I216 &lt;=1, 5/6, Z$24-$I216 &lt;=5, (7-(Z$24-$I216))/6, AND(Z$24-$I216 =6,NOT(_xlfn.IFNA(ISNUMBER(SEARCH("Rending",$L216)),FALSE))), (7-(Z$24-$I216))/6, AND(Z$24-$I216 &gt;=7,NOT(_xlfn.IFNA(ISNUMBER(SEARCH("Rending",$L216)),FALSE))), 0, Z$24-$I216 =7, (7-(Z$24-1-$I216))/6, Z$24-$I216 =8, (7-(Z$24-2-$I216))/6*2/3, Z$24-$I216 =9, (7-(Z$24-3-$I216))/6*1/3, TRUE, 0)) *
IF(ISNUMBER(SEARCH("Ordinance",$L216)),7/6,1) *
IF(OR(ISNUMBER(SEARCH("Melee",$L216)),ISNUMBER(SEARCH("Bypass",$L216))),1.5,1)</f>
        <v>0</v>
      </c>
      <c r="AA216" s="17" cm="1">
        <f t="array" ref="AA216">$H216 *
IF(ISNUMBER(SEARCH("Rapid",$L216)),7/6,1) *
IF(OR(ISNUMBER(SEARCH("Beam",$L216)),ISNUMBER(SEARCH("Firestorm",$L216))),1, IF(ISNUMBER(SEARCH("Blast",$L216)),(4+$F216+(2-$F216)*0.5)/6*2,(4+$F216)/6)) *
IF(ISNUMBER(SEARCH("Fusion",$L216)), _xlfn.IFS(AA$24-$I216 &lt;=1, 9/10, AA$24-$I216 &lt;=10,(11-(AA$24-$I216))/10, AA$24-$I216 &gt;=11, 0),
_xlfn.IFS(AA$24-$I216 &lt;=1, 5/6, AA$24-$I216 &lt;=5, (7-(AA$24-$I216))/6, AND(AA$24-$I216 =6,NOT(_xlfn.IFNA(ISNUMBER(SEARCH("Rending",$L216)),FALSE))), (7-(AA$24-$I216))/6, AND(AA$24-$I216 &gt;=7,NOT(_xlfn.IFNA(ISNUMBER(SEARCH("Rending",$L216)),FALSE))), 0, AA$24-$I216 =7, (7-(AA$24-1-$I216))/6, AA$24-$I216 =8, (7-(AA$24-2-$I216))/6*2/3, AA$24-$I216 =9, (7-(AA$24-3-$I216))/6*1/3, TRUE, 0)) *
IF(ISNUMBER(SEARCH("Ordinance",$L216)),7/6,1) *
IF(OR(ISNUMBER(SEARCH("Melee",$L216)),ISNUMBER(SEARCH("Bypass",$L216))),1.5,1)</f>
        <v>0</v>
      </c>
      <c r="AB216" s="17" cm="1">
        <f t="array" ref="AB216">$H216 *
IF(ISNUMBER(SEARCH("Rapid",$L216)),7/6,1) *
IF(OR(ISNUMBER(SEARCH("Beam",$L216)),ISNUMBER(SEARCH("Firestorm",$L216))),1, IF(ISNUMBER(SEARCH("Blast",$L216)),(4+$F216+(2-$F216)*0.5)/6*2,(4+$F216)/6)) *
IF(ISNUMBER(SEARCH("Fusion",$L216)), _xlfn.IFS(AB$24-$I216 &lt;=1, 9/10, AB$24-$I216 &lt;=10,(11-(AB$24-$I216))/10, AB$24-$I216 &gt;=11, 0),
_xlfn.IFS(AB$24-$I216 &lt;=1, 5/6, AB$24-$I216 &lt;=5, (7-(AB$24-$I216))/6, AND(AB$24-$I216 =6,NOT(_xlfn.IFNA(ISNUMBER(SEARCH("Rending",$L216)),FALSE))), (7-(AB$24-$I216))/6, AND(AB$24-$I216 &gt;=7,NOT(_xlfn.IFNA(ISNUMBER(SEARCH("Rending",$L216)),FALSE))), 0, AB$24-$I216 =7, (7-(AB$24-1-$I216))/6, AB$24-$I216 =8, (7-(AB$24-2-$I216))/6*2/3, AB$24-$I216 =9, (7-(AB$24-3-$I216))/6*1/3, TRUE, 0)) *
IF(ISNUMBER(SEARCH("Ordinance",$L216)),7/6,1) *
IF(OR(ISNUMBER(SEARCH("Melee",$L216)),ISNUMBER(SEARCH("Bypass",$L216))),1.5,1)</f>
        <v>0</v>
      </c>
      <c r="AC216" s="17" cm="1">
        <f t="array" ref="AC216">$H216 *
IF(ISNUMBER(SEARCH("Rapid",$L216)),7/6,1) *
IF(OR(ISNUMBER(SEARCH("Beam",$L216)),ISNUMBER(SEARCH("Firestorm",$L216))),1, IF(ISNUMBER(SEARCH("Blast",$L216)),(4+$F216+(2-$F216)*0.5)/6*2,(4+$F216)/6)) *
IF(ISNUMBER(SEARCH("Fusion",$L216)), _xlfn.IFS(AC$24-$I216 &lt;=1, 9/10, AC$24-$I216 &lt;=10,(11-(AC$24-$I216))/10, AC$24-$I216 &gt;=11, 0),
_xlfn.IFS(AC$24-$I216 &lt;=1, 5/6, AC$24-$I216 &lt;=5, (7-(AC$24-$I216))/6, AND(AC$24-$I216 =6,NOT(_xlfn.IFNA(ISNUMBER(SEARCH("Rending",$L216)),FALSE))), (7-(AC$24-$I216))/6, AND(AC$24-$I216 &gt;=7,NOT(_xlfn.IFNA(ISNUMBER(SEARCH("Rending",$L216)),FALSE))), 0, AC$24-$I216 =7, (7-(AC$24-1-$I216))/6, AC$24-$I216 =8, (7-(AC$24-2-$I216))/6*2/3, AC$24-$I216 =9, (7-(AC$24-3-$I216))/6*1/3, TRUE, 0)) *
IF(ISNUMBER(SEARCH("Ordinance",$L216)),7/6,1) *
IF(OR(ISNUMBER(SEARCH("Melee",$L216)),ISNUMBER(SEARCH("Bypass",$L216))),1.5,1)</f>
        <v>0</v>
      </c>
      <c r="AD216" s="17" cm="1">
        <f t="array" ref="AD216">$H216 *
IF(ISNUMBER(SEARCH("Rapid",$L216)),7/6,1) *
IF(OR(ISNUMBER(SEARCH("Beam",$L216)),ISNUMBER(SEARCH("Firestorm",$L216))),1, IF(ISNUMBER(SEARCH("Blast",$L216)),(4+$F216+(2-$F216)*0.5)/6*2,(4+$F216)/6)) *
IF(ISNUMBER(SEARCH("Fusion",$L216)), _xlfn.IFS(AD$24-$I216 &lt;=1, 9/10, AD$24-$I216 &lt;=10,(11-(AD$24-$I216))/10, AD$24-$I216 &gt;=11, 0),
_xlfn.IFS(AD$24-$I216 &lt;=1, 5/6, AD$24-$I216 &lt;=5, (7-(AD$24-$I216))/6, AND(AD$24-$I216 =6,NOT(_xlfn.IFNA(ISNUMBER(SEARCH("Rending",$L216)),FALSE))), (7-(AD$24-$I216))/6, AND(AD$24-$I216 &gt;=7,NOT(_xlfn.IFNA(ISNUMBER(SEARCH("Rending",$L216)),FALSE))), 0, AD$24-$I216 =7, (7-(AD$24-1-$I216))/6, AD$24-$I216 =8, (7-(AD$24-2-$I216))/6*2/3, AD$24-$I216 =9, (7-(AD$24-3-$I216))/6*1/3, TRUE, 0)) *
IF(ISNUMBER(SEARCH("Ordinance",$L216)),7/6,1) *
IF(OR(ISNUMBER(SEARCH("Melee",$L216)),ISNUMBER(SEARCH("Bypass",$L216))),1.5,1)</f>
        <v>0</v>
      </c>
      <c r="AE216" s="17" cm="1">
        <f t="array" ref="AE216">$H216 *
IF(ISNUMBER(SEARCH("Rapid",$L216)),7/6,1) *
IF(OR(ISNUMBER(SEARCH("Beam",$L216)),ISNUMBER(SEARCH("Firestorm",$L216))),1, IF(ISNUMBER(SEARCH("Blast",$L216)),(4+$F216+(2-$F216)*0.5)/6*2,(4+$F216)/6)) *
IF(ISNUMBER(SEARCH("Fusion",$L216)), _xlfn.IFS(AE$24-$I216 &lt;=1, 9/10, AE$24-$I216 &lt;=10,(11-(AE$24-$I216))/10, AE$24-$I216 &gt;=11, 0),
_xlfn.IFS(AE$24-$I216 &lt;=1, 5/6, AE$24-$I216 &lt;=5, (7-(AE$24-$I216))/6, AND(AE$24-$I216 =6,NOT(_xlfn.IFNA(ISNUMBER(SEARCH("Rending",$L216)),FALSE))), (7-(AE$24-$I216))/6, AND(AE$24-$I216 &gt;=7,NOT(_xlfn.IFNA(ISNUMBER(SEARCH("Rending",$L216)),FALSE))), 0, AE$24-$I216 =7, (7-(AE$24-1-$I216))/6, AE$24-$I216 =8, (7-(AE$24-2-$I216))/6*2/3, AE$24-$I216 =9, (7-(AE$24-3-$I216))/6*1/3, TRUE, 0)) *
IF(ISNUMBER(SEARCH("Ordinance",$L216)),7/6,1) *
IF(OR(ISNUMBER(SEARCH("Melee",$L216)),ISNUMBER(SEARCH("Bypass",$L216))),1.5,1)</f>
        <v>0</v>
      </c>
      <c r="AF216" s="17" cm="1">
        <f t="array" ref="AF216">$H216 *
IF(ISNUMBER(SEARCH("Rapid",$L216)),7/6,1) *
IF(OR(ISNUMBER(SEARCH("Beam",$L216)),ISNUMBER(SEARCH("Firestorm",$L216))),1, IF(ISNUMBER(SEARCH("Blast",$L216)),(4+$F216+(2-$F216)*0.5)/6*2,(4+$F216)/6)) *
IF(ISNUMBER(SEARCH("Fusion",$L216)), _xlfn.IFS(AF$24-$I216 &lt;=1, 9/10, AF$24-$I216 &lt;=10,(11-(AF$24-$I216))/10, AF$24-$I216 &gt;=11, 0),
_xlfn.IFS(AF$24-$I216 &lt;=1, 5/6, AF$24-$I216 &lt;=5, (7-(AF$24-$I216))/6, AND(AF$24-$I216 =6,NOT(_xlfn.IFNA(ISNUMBER(SEARCH("Rending",$L216)),FALSE))), (7-(AF$24-$I216))/6, AND(AF$24-$I216 &gt;=7,NOT(_xlfn.IFNA(ISNUMBER(SEARCH("Rending",$L216)),FALSE))), 0, AF$24-$I216 =7, (7-(AF$24-1-$I216))/6, AF$24-$I216 =8, (7-(AF$24-2-$I216))/6*2/3, AF$24-$I216 =9, (7-(AF$24-3-$I216))/6*1/3, TRUE, 0)) *
IF(ISNUMBER(SEARCH("Ordinance",$L216)),7/6,1) *
IF(OR(ISNUMBER(SEARCH("Melee",$L216)),ISNUMBER(SEARCH("Bypass",$L216))),1.5,1)</f>
        <v>0</v>
      </c>
      <c r="AG216" s="16">
        <f t="shared" si="67"/>
        <v>0</v>
      </c>
      <c r="AH216" s="16">
        <f t="shared" si="68"/>
        <v>0</v>
      </c>
      <c r="AI216" s="17" cm="1">
        <f t="array" ref="AI216">$H216 *
IF(ISNUMBER(SEARCH("Rapid",$L216)),7/6,1) *
IF(OR(ISNUMBER(SEARCH("Beam",$L216)),ISNUMBER(SEARCH("Firestorm",$L216))),1, IF(ISNUMBER(SEARCH("Blast",$L216)),(4+$G216+(2-$G216)*0.5)/6*2,(4+$G216)/6)) *
_xlfn.IFS(AI$24-$I216 &lt;=1, 5/6, AI$24-$I216 &lt;=5, (7-(AI$24-$I216))/6, AND(AI$24-$I216 =6,NOT(_xlfn.IFNA(ISNUMBER(SEARCH("Rending",$L216)),FALSE))), (7-(AI$24-$I216))/6, AND(AI$24-$I216 &gt;=7,NOT(_xlfn.IFNA(ISNUMBER(SEARCH("Rending",$L216)),FALSE))), 0, AI$24-$I216 =7, (7-(AI$24-1-$I216))/6, AI$24-$I216 =8, (7-(AI$24-2-$I216))/6*2/3, AI$24-$I216 =9, (7-(AI$24-3-$I216))/6*1/3, TRUE, 0) *
IF(ISNUMBER(SEARCH("Ordinance",$L216)),7/6,1) *
IF(OR(ISNUMBER(SEARCH("Melee",$L216)),ISNUMBER(SEARCH("Bypass",$L216))),1.5,1)</f>
        <v>0</v>
      </c>
      <c r="AJ216" s="17" cm="1">
        <f t="array" ref="AJ216">$H216 *
IF(ISNUMBER(SEARCH("Rapid",$L216)),7/6,1) *
IF(OR(ISNUMBER(SEARCH("Beam",$L216)),ISNUMBER(SEARCH("Firestorm",$L216))),1, IF(ISNUMBER(SEARCH("Blast",$L216)),(4+$G216+(2-$G216)*0.5)/6*2,(4+$G216)/6)) *
_xlfn.IFS(AJ$24-$I216 &lt;=1, 5/6, AJ$24-$I216 &lt;=5, (7-(AJ$24-$I216))/6, AND(AJ$24-$I216 =6,NOT(_xlfn.IFNA(ISNUMBER(SEARCH("Rending",$L216)),FALSE))), (7-(AJ$24-$I216))/6, AND(AJ$24-$I216 &gt;=7,NOT(_xlfn.IFNA(ISNUMBER(SEARCH("Rending",$L216)),FALSE))), 0, AJ$24-$I216 =7, (7-(AJ$24-1-$I216))/6, AJ$24-$I216 =8, (7-(AJ$24-2-$I216))/6*2/3, AJ$24-$I216 =9, (7-(AJ$24-3-$I216))/6*1/3, TRUE, 0) *
IF(ISNUMBER(SEARCH("Ordinance",$L216)),7/6,1) *
IF(OR(ISNUMBER(SEARCH("Melee",$L216)),ISNUMBER(SEARCH("Bypass",$L216))),1.5,1)</f>
        <v>0</v>
      </c>
      <c r="AK216" s="17" cm="1">
        <f t="array" ref="AK216">$H216 *
IF(ISNUMBER(SEARCH("Rapid",$L216)),7/6,1) *
IF(OR(ISNUMBER(SEARCH("Beam",$L216)),ISNUMBER(SEARCH("Firestorm",$L216))),1, IF(ISNUMBER(SEARCH("Blast",$L216)),(4+$G216+(2-$G216)*0.5)/6*2,(4+$G216)/6)) *
_xlfn.IFS(AK$24-$I216 &lt;=1, 5/6, AK$24-$I216 &lt;=5, (7-(AK$24-$I216))/6, AND(AK$24-$I216 =6,NOT(_xlfn.IFNA(ISNUMBER(SEARCH("Rending",$L216)),FALSE))), (7-(AK$24-$I216))/6, AND(AK$24-$I216 &gt;=7,NOT(_xlfn.IFNA(ISNUMBER(SEARCH("Rending",$L216)),FALSE))), 0, AK$24-$I216 =7, (7-(AK$24-1-$I216))/6, AK$24-$I216 =8, (7-(AK$24-2-$I216))/6*2/3, AK$24-$I216 =9, (7-(AK$24-3-$I216))/6*1/3, TRUE, 0) *
IF(ISNUMBER(SEARCH("Ordinance",$L216)),7/6,1) *
IF(OR(ISNUMBER(SEARCH("Melee",$L216)),ISNUMBER(SEARCH("Bypass",$L216))),1.5,1)</f>
        <v>0</v>
      </c>
      <c r="AL216" s="17" cm="1">
        <f t="array" ref="AL216">$H216 *
IF(ISNUMBER(SEARCH("Rapid",$L216)),7/6,1) *
IF(OR(ISNUMBER(SEARCH("Beam",$L216)),ISNUMBER(SEARCH("Firestorm",$L216))),1, IF(ISNUMBER(SEARCH("Blast",$L216)),(4+$G216+(2-$G216)*0.5)/6*2,(4+$G216)/6)) *
_xlfn.IFS(AL$24-$I216 &lt;=1, 5/6, AL$24-$I216 &lt;=5, (7-(AL$24-$I216))/6, AND(AL$24-$I216 =6,NOT(_xlfn.IFNA(ISNUMBER(SEARCH("Rending",$L216)),FALSE))), (7-(AL$24-$I216))/6, AND(AL$24-$I216 &gt;=7,NOT(_xlfn.IFNA(ISNUMBER(SEARCH("Rending",$L216)),FALSE))), 0, AL$24-$I216 =7, (7-(AL$24-1-$I216))/6, AL$24-$I216 =8, (7-(AL$24-2-$I216))/6*2/3, AL$24-$I216 =9, (7-(AL$24-3-$I216))/6*1/3, TRUE, 0) *
IF(ISNUMBER(SEARCH("Ordinance",$L216)),7/6,1) *
IF(OR(ISNUMBER(SEARCH("Melee",$L216)),ISNUMBER(SEARCH("Bypass",$L216))),1.5,1)</f>
        <v>0</v>
      </c>
      <c r="AM216" s="17" cm="1">
        <f t="array" ref="AM216">$H216 *
IF(ISNUMBER(SEARCH("Rapid",$L216)),7/6,1) *
IF(OR(ISNUMBER(SEARCH("Beam",$L216)),ISNUMBER(SEARCH("Firestorm",$L216))),1, IF(ISNUMBER(SEARCH("Blast",$L216)),(4+$G216+(2-$G216)*0.5)/6*2,(4+$G216)/6)) *
_xlfn.IFS(AM$24-$I216 &lt;=1, 5/6, AM$24-$I216 &lt;=5, (7-(AM$24-$I216))/6, AND(AM$24-$I216 =6,NOT(_xlfn.IFNA(ISNUMBER(SEARCH("Rending",$L216)),FALSE))), (7-(AM$24-$I216))/6, AND(AM$24-$I216 &gt;=7,NOT(_xlfn.IFNA(ISNUMBER(SEARCH("Rending",$L216)),FALSE))), 0, AM$24-$I216 =7, (7-(AM$24-1-$I216))/6, AM$24-$I216 =8, (7-(AM$24-2-$I216))/6*2/3, AM$24-$I216 =9, (7-(AM$24-3-$I216))/6*1/3, TRUE, 0) *
IF(ISNUMBER(SEARCH("Ordinance",$L216)),7/6,1) *
IF(OR(ISNUMBER(SEARCH("Melee",$L216)),ISNUMBER(SEARCH("Bypass",$L216))),1.5,1)</f>
        <v>0</v>
      </c>
      <c r="AN216" s="17" cm="1">
        <f t="array" ref="AN216">$H216 *
IF(ISNUMBER(SEARCH("Rapid",$L216)),7/6,1) *
IF(OR(ISNUMBER(SEARCH("Beam",$L216)),ISNUMBER(SEARCH("Firestorm",$L216))),1, IF(ISNUMBER(SEARCH("Blast",$L216)),(4+$G216+(2-$G216)*0.5)/6*2,(4+$G216)/6)) *
_xlfn.IFS(AN$24-$I216 &lt;=1, 5/6, AN$24-$I216 &lt;=5, (7-(AN$24-$I216))/6, AND(AN$24-$I216 =6,NOT(_xlfn.IFNA(ISNUMBER(SEARCH("Rending",$L216)),FALSE))), (7-(AN$24-$I216))/6, AND(AN$24-$I216 &gt;=7,NOT(_xlfn.IFNA(ISNUMBER(SEARCH("Rending",$L216)),FALSE))), 0, AN$24-$I216 =7, (7-(AN$24-1-$I216))/6, AN$24-$I216 =8, (7-(AN$24-2-$I216))/6*2/3, AN$24-$I216 =9, (7-(AN$24-3-$I216))/6*1/3, TRUE, 0) *
IF(ISNUMBER(SEARCH("Ordinance",$L216)),7/6,1) *
IF(OR(ISNUMBER(SEARCH("Melee",$L216)),ISNUMBER(SEARCH("Bypass",$L216))),1.5,1)</f>
        <v>0</v>
      </c>
      <c r="AO216" s="17" cm="1">
        <f t="array" ref="AO216">$H216 *
IF(ISNUMBER(SEARCH("Rapid",$L216)),7/6,1) *
IF(OR(ISNUMBER(SEARCH("Beam",$L216)),ISNUMBER(SEARCH("Firestorm",$L216))),1, IF(ISNUMBER(SEARCH("Blast",$L216)),(4+$G216+(2-$G216)*0.5)/6*2,(4+$G216)/6)) *
_xlfn.IFS(AO$24-$I216 &lt;=1, 5/6, AO$24-$I216 &lt;=5, (7-(AO$24-$I216))/6, AND(AO$24-$I216 =6,NOT(_xlfn.IFNA(ISNUMBER(SEARCH("Rending",$L216)),FALSE))), (7-(AO$24-$I216))/6, AND(AO$24-$I216 &gt;=7,NOT(_xlfn.IFNA(ISNUMBER(SEARCH("Rending",$L216)),FALSE))), 0, AO$24-$I216 =7, (7-(AO$24-1-$I216))/6, AO$24-$I216 =8, (7-(AO$24-2-$I216))/6*2/3, AO$24-$I216 =9, (7-(AO$24-3-$I216))/6*1/3, TRUE, 0) *
IF(ISNUMBER(SEARCH("Ordinance",$L216)),7/6,1) *
IF(OR(ISNUMBER(SEARCH("Melee",$L216)),ISNUMBER(SEARCH("Bypass",$L216))),1.5,1)</f>
        <v>0</v>
      </c>
      <c r="AP216" s="17" cm="1">
        <f t="array" ref="AP216">$H216 *
IF(ISNUMBER(SEARCH("Rapid",$L216)),7/6,1) *
IF(OR(ISNUMBER(SEARCH("Beam",$L216)),ISNUMBER(SEARCH("Firestorm",$L216))),1, IF(ISNUMBER(SEARCH("Blast",$L216)),(4+$G216+(2-$G216)*0.5)/6*2,(4+$G216)/6)) *
_xlfn.IFS(AP$24-$I216 &lt;=1, 5/6, AP$24-$I216 &lt;=5, (7-(AP$24-$I216))/6, AND(AP$24-$I216 =6,NOT(_xlfn.IFNA(ISNUMBER(SEARCH("Rending",$L216)),FALSE))), (7-(AP$24-$I216))/6, AND(AP$24-$I216 &gt;=7,NOT(_xlfn.IFNA(ISNUMBER(SEARCH("Rending",$L216)),FALSE))), 0, AP$24-$I216 =7, (7-(AP$24-1-$I216))/6, AP$24-$I216 =8, (7-(AP$24-2-$I216))/6*2/3, AP$24-$I216 =9, (7-(AP$24-3-$I216))/6*1/3, TRUE, 0) *
IF(ISNUMBER(SEARCH("Ordinance",$L216)),7/6,1) *
IF(OR(ISNUMBER(SEARCH("Melee",$L216)),ISNUMBER(SEARCH("Bypass",$L216))),1.5,1)</f>
        <v>0</v>
      </c>
      <c r="AQ216" s="17" cm="1">
        <f t="array" ref="AQ216">$H216 *
IF(ISNUMBER(SEARCH("Rapid",$L216)),7/6,1) *
IF(OR(ISNUMBER(SEARCH("Beam",$L216)),ISNUMBER(SEARCH("Firestorm",$L216))),1, IF(ISNUMBER(SEARCH("Blast",$L216)),(4+$G216+(2-$G216)*0.5)/6*2,(4+$G216)/6)) *
_xlfn.IFS(AQ$24-$I216 &lt;=1, 5/6, AQ$24-$I216 &lt;=5, (7-(AQ$24-$I216))/6, AND(AQ$24-$I216 =6,NOT(_xlfn.IFNA(ISNUMBER(SEARCH("Rending",$L216)),FALSE))), (7-(AQ$24-$I216))/6, AND(AQ$24-$I216 &gt;=7,NOT(_xlfn.IFNA(ISNUMBER(SEARCH("Rending",$L216)),FALSE))), 0, AQ$24-$I216 =7, (7-(AQ$24-1-$I216))/6, AQ$24-$I216 =8, (7-(AQ$24-2-$I216))/6*2/3, AQ$24-$I216 =9, (7-(AQ$24-3-$I216))/6*1/3, TRUE, 0) *
IF(ISNUMBER(SEARCH("Ordinance",$L216)),7/6,1) *
IF(OR(ISNUMBER(SEARCH("Melee",$L216)),ISNUMBER(SEARCH("Bypass",$L216))),1.5,1)</f>
        <v>0</v>
      </c>
      <c r="AS216" s="16"/>
      <c r="AT216" s="16"/>
      <c r="AU216" s="16"/>
    </row>
    <row r="217" spans="1:48" x14ac:dyDescent="0.3">
      <c r="A217" s="6" t="s">
        <v>546</v>
      </c>
      <c r="F217" s="10"/>
      <c r="G217" s="10"/>
      <c r="V217" s="16">
        <f t="shared" si="65"/>
        <v>0</v>
      </c>
      <c r="W217" s="16">
        <f t="shared" si="66"/>
        <v>0</v>
      </c>
      <c r="X217" s="17" cm="1">
        <f t="array" ref="X217">$H217 *
IF(ISNUMBER(SEARCH("Rapid",$L217)),7/6,1) *
IF(OR(ISNUMBER(SEARCH("Beam",$L217)),ISNUMBER(SEARCH("Firestorm",$L217))),1, IF(ISNUMBER(SEARCH("Blast",$L217)),(4+$F217+(2-$F217)*0.5)/6*2,(4+$F217)/6)) *
IF(ISNUMBER(SEARCH("Fusion",$L217)), _xlfn.IFS(X$24-$I217 &lt;=1, 9/10, X$24-$I217 &lt;=10,(11-(X$24-$I217))/10, X$24-$I217 &gt;=11, 0),
_xlfn.IFS(X$24-$I217 &lt;=1, 5/6, X$24-$I217 &lt;=5, (7-(X$24-$I217))/6, AND(X$24-$I217 =6,NOT(_xlfn.IFNA(ISNUMBER(SEARCH("Rending",$L217)),FALSE))), (7-(X$24-$I217))/6, AND(X$24-$I217 &gt;=7,NOT(_xlfn.IFNA(ISNUMBER(SEARCH("Rending",$L217)),FALSE))), 0, X$24-$I217 =7, (7-(X$24-1-$I217))/6, X$24-$I217 =8, (7-(X$24-2-$I217))/6*2/3, X$24-$I217 =9, (7-(X$24-3-$I217))/6*1/3, TRUE, 0)) *
IF(ISNUMBER(SEARCH("Ordinance",$L217)),7/6,1) *
IF(OR(ISNUMBER(SEARCH("Melee",$L217)),ISNUMBER(SEARCH("Bypass",$L217))),1.5,1)</f>
        <v>0</v>
      </c>
      <c r="Y217" s="17" cm="1">
        <f t="array" ref="Y217">$H217 *
IF(ISNUMBER(SEARCH("Rapid",$L217)),7/6,1) *
IF(OR(ISNUMBER(SEARCH("Beam",$L217)),ISNUMBER(SEARCH("Firestorm",$L217))),1, IF(ISNUMBER(SEARCH("Blast",$L217)),(4+$F217+(2-$F217)*0.5)/6*2,(4+$F217)/6)) *
IF(ISNUMBER(SEARCH("Fusion",$L217)), _xlfn.IFS(Y$24-$I217 &lt;=1, 9/10, Y$24-$I217 &lt;=10,(11-(Y$24-$I217))/10, Y$24-$I217 &gt;=11, 0),
_xlfn.IFS(Y$24-$I217 &lt;=1, 5/6, Y$24-$I217 &lt;=5, (7-(Y$24-$I217))/6, AND(Y$24-$I217 =6,NOT(_xlfn.IFNA(ISNUMBER(SEARCH("Rending",$L217)),FALSE))), (7-(Y$24-$I217))/6, AND(Y$24-$I217 &gt;=7,NOT(_xlfn.IFNA(ISNUMBER(SEARCH("Rending",$L217)),FALSE))), 0, Y$24-$I217 =7, (7-(Y$24-1-$I217))/6, Y$24-$I217 =8, (7-(Y$24-2-$I217))/6*2/3, Y$24-$I217 =9, (7-(Y$24-3-$I217))/6*1/3, TRUE, 0)) *
IF(ISNUMBER(SEARCH("Ordinance",$L217)),7/6,1) *
IF(OR(ISNUMBER(SEARCH("Melee",$L217)),ISNUMBER(SEARCH("Bypass",$L217))),1.5,1)</f>
        <v>0</v>
      </c>
      <c r="Z217" s="17" cm="1">
        <f t="array" ref="Z217">$H217 *
IF(ISNUMBER(SEARCH("Rapid",$L217)),7/6,1) *
IF(OR(ISNUMBER(SEARCH("Beam",$L217)),ISNUMBER(SEARCH("Firestorm",$L217))),1, IF(ISNUMBER(SEARCH("Blast",$L217)),(4+$F217+(2-$F217)*0.5)/6*2,(4+$F217)/6)) *
IF(ISNUMBER(SEARCH("Fusion",$L217)), _xlfn.IFS(Z$24-$I217 &lt;=1, 9/10, Z$24-$I217 &lt;=10,(11-(Z$24-$I217))/10, Z$24-$I217 &gt;=11, 0),
_xlfn.IFS(Z$24-$I217 &lt;=1, 5/6, Z$24-$I217 &lt;=5, (7-(Z$24-$I217))/6, AND(Z$24-$I217 =6,NOT(_xlfn.IFNA(ISNUMBER(SEARCH("Rending",$L217)),FALSE))), (7-(Z$24-$I217))/6, AND(Z$24-$I217 &gt;=7,NOT(_xlfn.IFNA(ISNUMBER(SEARCH("Rending",$L217)),FALSE))), 0, Z$24-$I217 =7, (7-(Z$24-1-$I217))/6, Z$24-$I217 =8, (7-(Z$24-2-$I217))/6*2/3, Z$24-$I217 =9, (7-(Z$24-3-$I217))/6*1/3, TRUE, 0)) *
IF(ISNUMBER(SEARCH("Ordinance",$L217)),7/6,1) *
IF(OR(ISNUMBER(SEARCH("Melee",$L217)),ISNUMBER(SEARCH("Bypass",$L217))),1.5,1)</f>
        <v>0</v>
      </c>
      <c r="AA217" s="17" cm="1">
        <f t="array" ref="AA217">$H217 *
IF(ISNUMBER(SEARCH("Rapid",$L217)),7/6,1) *
IF(OR(ISNUMBER(SEARCH("Beam",$L217)),ISNUMBER(SEARCH("Firestorm",$L217))),1, IF(ISNUMBER(SEARCH("Blast",$L217)),(4+$F217+(2-$F217)*0.5)/6*2,(4+$F217)/6)) *
IF(ISNUMBER(SEARCH("Fusion",$L217)), _xlfn.IFS(AA$24-$I217 &lt;=1, 9/10, AA$24-$I217 &lt;=10,(11-(AA$24-$I217))/10, AA$24-$I217 &gt;=11, 0),
_xlfn.IFS(AA$24-$I217 &lt;=1, 5/6, AA$24-$I217 &lt;=5, (7-(AA$24-$I217))/6, AND(AA$24-$I217 =6,NOT(_xlfn.IFNA(ISNUMBER(SEARCH("Rending",$L217)),FALSE))), (7-(AA$24-$I217))/6, AND(AA$24-$I217 &gt;=7,NOT(_xlfn.IFNA(ISNUMBER(SEARCH("Rending",$L217)),FALSE))), 0, AA$24-$I217 =7, (7-(AA$24-1-$I217))/6, AA$24-$I217 =8, (7-(AA$24-2-$I217))/6*2/3, AA$24-$I217 =9, (7-(AA$24-3-$I217))/6*1/3, TRUE, 0)) *
IF(ISNUMBER(SEARCH("Ordinance",$L217)),7/6,1) *
IF(OR(ISNUMBER(SEARCH("Melee",$L217)),ISNUMBER(SEARCH("Bypass",$L217))),1.5,1)</f>
        <v>0</v>
      </c>
      <c r="AB217" s="17" cm="1">
        <f t="array" ref="AB217">$H217 *
IF(ISNUMBER(SEARCH("Rapid",$L217)),7/6,1) *
IF(OR(ISNUMBER(SEARCH("Beam",$L217)),ISNUMBER(SEARCH("Firestorm",$L217))),1, IF(ISNUMBER(SEARCH("Blast",$L217)),(4+$F217+(2-$F217)*0.5)/6*2,(4+$F217)/6)) *
IF(ISNUMBER(SEARCH("Fusion",$L217)), _xlfn.IFS(AB$24-$I217 &lt;=1, 9/10, AB$24-$I217 &lt;=10,(11-(AB$24-$I217))/10, AB$24-$I217 &gt;=11, 0),
_xlfn.IFS(AB$24-$I217 &lt;=1, 5/6, AB$24-$I217 &lt;=5, (7-(AB$24-$I217))/6, AND(AB$24-$I217 =6,NOT(_xlfn.IFNA(ISNUMBER(SEARCH("Rending",$L217)),FALSE))), (7-(AB$24-$I217))/6, AND(AB$24-$I217 &gt;=7,NOT(_xlfn.IFNA(ISNUMBER(SEARCH("Rending",$L217)),FALSE))), 0, AB$24-$I217 =7, (7-(AB$24-1-$I217))/6, AB$24-$I217 =8, (7-(AB$24-2-$I217))/6*2/3, AB$24-$I217 =9, (7-(AB$24-3-$I217))/6*1/3, TRUE, 0)) *
IF(ISNUMBER(SEARCH("Ordinance",$L217)),7/6,1) *
IF(OR(ISNUMBER(SEARCH("Melee",$L217)),ISNUMBER(SEARCH("Bypass",$L217))),1.5,1)</f>
        <v>0</v>
      </c>
      <c r="AC217" s="17" cm="1">
        <f t="array" ref="AC217">$H217 *
IF(ISNUMBER(SEARCH("Rapid",$L217)),7/6,1) *
IF(OR(ISNUMBER(SEARCH("Beam",$L217)),ISNUMBER(SEARCH("Firestorm",$L217))),1, IF(ISNUMBER(SEARCH("Blast",$L217)),(4+$F217+(2-$F217)*0.5)/6*2,(4+$F217)/6)) *
IF(ISNUMBER(SEARCH("Fusion",$L217)), _xlfn.IFS(AC$24-$I217 &lt;=1, 9/10, AC$24-$I217 &lt;=10,(11-(AC$24-$I217))/10, AC$24-$I217 &gt;=11, 0),
_xlfn.IFS(AC$24-$I217 &lt;=1, 5/6, AC$24-$I217 &lt;=5, (7-(AC$24-$I217))/6, AND(AC$24-$I217 =6,NOT(_xlfn.IFNA(ISNUMBER(SEARCH("Rending",$L217)),FALSE))), (7-(AC$24-$I217))/6, AND(AC$24-$I217 &gt;=7,NOT(_xlfn.IFNA(ISNUMBER(SEARCH("Rending",$L217)),FALSE))), 0, AC$24-$I217 =7, (7-(AC$24-1-$I217))/6, AC$24-$I217 =8, (7-(AC$24-2-$I217))/6*2/3, AC$24-$I217 =9, (7-(AC$24-3-$I217))/6*1/3, TRUE, 0)) *
IF(ISNUMBER(SEARCH("Ordinance",$L217)),7/6,1) *
IF(OR(ISNUMBER(SEARCH("Melee",$L217)),ISNUMBER(SEARCH("Bypass",$L217))),1.5,1)</f>
        <v>0</v>
      </c>
      <c r="AD217" s="17" cm="1">
        <f t="array" ref="AD217">$H217 *
IF(ISNUMBER(SEARCH("Rapid",$L217)),7/6,1) *
IF(OR(ISNUMBER(SEARCH("Beam",$L217)),ISNUMBER(SEARCH("Firestorm",$L217))),1, IF(ISNUMBER(SEARCH("Blast",$L217)),(4+$F217+(2-$F217)*0.5)/6*2,(4+$F217)/6)) *
IF(ISNUMBER(SEARCH("Fusion",$L217)), _xlfn.IFS(AD$24-$I217 &lt;=1, 9/10, AD$24-$I217 &lt;=10,(11-(AD$24-$I217))/10, AD$24-$I217 &gt;=11, 0),
_xlfn.IFS(AD$24-$I217 &lt;=1, 5/6, AD$24-$I217 &lt;=5, (7-(AD$24-$I217))/6, AND(AD$24-$I217 =6,NOT(_xlfn.IFNA(ISNUMBER(SEARCH("Rending",$L217)),FALSE))), (7-(AD$24-$I217))/6, AND(AD$24-$I217 &gt;=7,NOT(_xlfn.IFNA(ISNUMBER(SEARCH("Rending",$L217)),FALSE))), 0, AD$24-$I217 =7, (7-(AD$24-1-$I217))/6, AD$24-$I217 =8, (7-(AD$24-2-$I217))/6*2/3, AD$24-$I217 =9, (7-(AD$24-3-$I217))/6*1/3, TRUE, 0)) *
IF(ISNUMBER(SEARCH("Ordinance",$L217)),7/6,1) *
IF(OR(ISNUMBER(SEARCH("Melee",$L217)),ISNUMBER(SEARCH("Bypass",$L217))),1.5,1)</f>
        <v>0</v>
      </c>
      <c r="AE217" s="17" cm="1">
        <f t="array" ref="AE217">$H217 *
IF(ISNUMBER(SEARCH("Rapid",$L217)),7/6,1) *
IF(OR(ISNUMBER(SEARCH("Beam",$L217)),ISNUMBER(SEARCH("Firestorm",$L217))),1, IF(ISNUMBER(SEARCH("Blast",$L217)),(4+$F217+(2-$F217)*0.5)/6*2,(4+$F217)/6)) *
IF(ISNUMBER(SEARCH("Fusion",$L217)), _xlfn.IFS(AE$24-$I217 &lt;=1, 9/10, AE$24-$I217 &lt;=10,(11-(AE$24-$I217))/10, AE$24-$I217 &gt;=11, 0),
_xlfn.IFS(AE$24-$I217 &lt;=1, 5/6, AE$24-$I217 &lt;=5, (7-(AE$24-$I217))/6, AND(AE$24-$I217 =6,NOT(_xlfn.IFNA(ISNUMBER(SEARCH("Rending",$L217)),FALSE))), (7-(AE$24-$I217))/6, AND(AE$24-$I217 &gt;=7,NOT(_xlfn.IFNA(ISNUMBER(SEARCH("Rending",$L217)),FALSE))), 0, AE$24-$I217 =7, (7-(AE$24-1-$I217))/6, AE$24-$I217 =8, (7-(AE$24-2-$I217))/6*2/3, AE$24-$I217 =9, (7-(AE$24-3-$I217))/6*1/3, TRUE, 0)) *
IF(ISNUMBER(SEARCH("Ordinance",$L217)),7/6,1) *
IF(OR(ISNUMBER(SEARCH("Melee",$L217)),ISNUMBER(SEARCH("Bypass",$L217))),1.5,1)</f>
        <v>0</v>
      </c>
      <c r="AF217" s="17" cm="1">
        <f t="array" ref="AF217">$H217 *
IF(ISNUMBER(SEARCH("Rapid",$L217)),7/6,1) *
IF(OR(ISNUMBER(SEARCH("Beam",$L217)),ISNUMBER(SEARCH("Firestorm",$L217))),1, IF(ISNUMBER(SEARCH("Blast",$L217)),(4+$F217+(2-$F217)*0.5)/6*2,(4+$F217)/6)) *
IF(ISNUMBER(SEARCH("Fusion",$L217)), _xlfn.IFS(AF$24-$I217 &lt;=1, 9/10, AF$24-$I217 &lt;=10,(11-(AF$24-$I217))/10, AF$24-$I217 &gt;=11, 0),
_xlfn.IFS(AF$24-$I217 &lt;=1, 5/6, AF$24-$I217 &lt;=5, (7-(AF$24-$I217))/6, AND(AF$24-$I217 =6,NOT(_xlfn.IFNA(ISNUMBER(SEARCH("Rending",$L217)),FALSE))), (7-(AF$24-$I217))/6, AND(AF$24-$I217 &gt;=7,NOT(_xlfn.IFNA(ISNUMBER(SEARCH("Rending",$L217)),FALSE))), 0, AF$24-$I217 =7, (7-(AF$24-1-$I217))/6, AF$24-$I217 =8, (7-(AF$24-2-$I217))/6*2/3, AF$24-$I217 =9, (7-(AF$24-3-$I217))/6*1/3, TRUE, 0)) *
IF(ISNUMBER(SEARCH("Ordinance",$L217)),7/6,1) *
IF(OR(ISNUMBER(SEARCH("Melee",$L217)),ISNUMBER(SEARCH("Bypass",$L217))),1.5,1)</f>
        <v>0</v>
      </c>
      <c r="AG217" s="16">
        <f t="shared" si="67"/>
        <v>0</v>
      </c>
      <c r="AH217" s="16">
        <f t="shared" si="68"/>
        <v>0</v>
      </c>
      <c r="AI217" s="17" cm="1">
        <f t="array" ref="AI217">$H217 *
IF(ISNUMBER(SEARCH("Rapid",$L217)),7/6,1) *
IF(OR(ISNUMBER(SEARCH("Beam",$L217)),ISNUMBER(SEARCH("Firestorm",$L217))),1, IF(ISNUMBER(SEARCH("Blast",$L217)),(4+$G217+(2-$G217)*0.5)/6*2,(4+$G217)/6)) *
_xlfn.IFS(AI$24-$I217 &lt;=1, 5/6, AI$24-$I217 &lt;=5, (7-(AI$24-$I217))/6, AND(AI$24-$I217 =6,NOT(_xlfn.IFNA(ISNUMBER(SEARCH("Rending",$L217)),FALSE))), (7-(AI$24-$I217))/6, AND(AI$24-$I217 &gt;=7,NOT(_xlfn.IFNA(ISNUMBER(SEARCH("Rending",$L217)),FALSE))), 0, AI$24-$I217 =7, (7-(AI$24-1-$I217))/6, AI$24-$I217 =8, (7-(AI$24-2-$I217))/6*2/3, AI$24-$I217 =9, (7-(AI$24-3-$I217))/6*1/3, TRUE, 0) *
IF(ISNUMBER(SEARCH("Ordinance",$L217)),7/6,1) *
IF(OR(ISNUMBER(SEARCH("Melee",$L217)),ISNUMBER(SEARCH("Bypass",$L217))),1.5,1)</f>
        <v>0</v>
      </c>
      <c r="AJ217" s="17" cm="1">
        <f t="array" ref="AJ217">$H217 *
IF(ISNUMBER(SEARCH("Rapid",$L217)),7/6,1) *
IF(OR(ISNUMBER(SEARCH("Beam",$L217)),ISNUMBER(SEARCH("Firestorm",$L217))),1, IF(ISNUMBER(SEARCH("Blast",$L217)),(4+$G217+(2-$G217)*0.5)/6*2,(4+$G217)/6)) *
_xlfn.IFS(AJ$24-$I217 &lt;=1, 5/6, AJ$24-$I217 &lt;=5, (7-(AJ$24-$I217))/6, AND(AJ$24-$I217 =6,NOT(_xlfn.IFNA(ISNUMBER(SEARCH("Rending",$L217)),FALSE))), (7-(AJ$24-$I217))/6, AND(AJ$24-$I217 &gt;=7,NOT(_xlfn.IFNA(ISNUMBER(SEARCH("Rending",$L217)),FALSE))), 0, AJ$24-$I217 =7, (7-(AJ$24-1-$I217))/6, AJ$24-$I217 =8, (7-(AJ$24-2-$I217))/6*2/3, AJ$24-$I217 =9, (7-(AJ$24-3-$I217))/6*1/3, TRUE, 0) *
IF(ISNUMBER(SEARCH("Ordinance",$L217)),7/6,1) *
IF(OR(ISNUMBER(SEARCH("Melee",$L217)),ISNUMBER(SEARCH("Bypass",$L217))),1.5,1)</f>
        <v>0</v>
      </c>
      <c r="AK217" s="17" cm="1">
        <f t="array" ref="AK217">$H217 *
IF(ISNUMBER(SEARCH("Rapid",$L217)),7/6,1) *
IF(OR(ISNUMBER(SEARCH("Beam",$L217)),ISNUMBER(SEARCH("Firestorm",$L217))),1, IF(ISNUMBER(SEARCH("Blast",$L217)),(4+$G217+(2-$G217)*0.5)/6*2,(4+$G217)/6)) *
_xlfn.IFS(AK$24-$I217 &lt;=1, 5/6, AK$24-$I217 &lt;=5, (7-(AK$24-$I217))/6, AND(AK$24-$I217 =6,NOT(_xlfn.IFNA(ISNUMBER(SEARCH("Rending",$L217)),FALSE))), (7-(AK$24-$I217))/6, AND(AK$24-$I217 &gt;=7,NOT(_xlfn.IFNA(ISNUMBER(SEARCH("Rending",$L217)),FALSE))), 0, AK$24-$I217 =7, (7-(AK$24-1-$I217))/6, AK$24-$I217 =8, (7-(AK$24-2-$I217))/6*2/3, AK$24-$I217 =9, (7-(AK$24-3-$I217))/6*1/3, TRUE, 0) *
IF(ISNUMBER(SEARCH("Ordinance",$L217)),7/6,1) *
IF(OR(ISNUMBER(SEARCH("Melee",$L217)),ISNUMBER(SEARCH("Bypass",$L217))),1.5,1)</f>
        <v>0</v>
      </c>
      <c r="AL217" s="17" cm="1">
        <f t="array" ref="AL217">$H217 *
IF(ISNUMBER(SEARCH("Rapid",$L217)),7/6,1) *
IF(OR(ISNUMBER(SEARCH("Beam",$L217)),ISNUMBER(SEARCH("Firestorm",$L217))),1, IF(ISNUMBER(SEARCH("Blast",$L217)),(4+$G217+(2-$G217)*0.5)/6*2,(4+$G217)/6)) *
_xlfn.IFS(AL$24-$I217 &lt;=1, 5/6, AL$24-$I217 &lt;=5, (7-(AL$24-$I217))/6, AND(AL$24-$I217 =6,NOT(_xlfn.IFNA(ISNUMBER(SEARCH("Rending",$L217)),FALSE))), (7-(AL$24-$I217))/6, AND(AL$24-$I217 &gt;=7,NOT(_xlfn.IFNA(ISNUMBER(SEARCH("Rending",$L217)),FALSE))), 0, AL$24-$I217 =7, (7-(AL$24-1-$I217))/6, AL$24-$I217 =8, (7-(AL$24-2-$I217))/6*2/3, AL$24-$I217 =9, (7-(AL$24-3-$I217))/6*1/3, TRUE, 0) *
IF(ISNUMBER(SEARCH("Ordinance",$L217)),7/6,1) *
IF(OR(ISNUMBER(SEARCH("Melee",$L217)),ISNUMBER(SEARCH("Bypass",$L217))),1.5,1)</f>
        <v>0</v>
      </c>
      <c r="AM217" s="17" cm="1">
        <f t="array" ref="AM217">$H217 *
IF(ISNUMBER(SEARCH("Rapid",$L217)),7/6,1) *
IF(OR(ISNUMBER(SEARCH("Beam",$L217)),ISNUMBER(SEARCH("Firestorm",$L217))),1, IF(ISNUMBER(SEARCH("Blast",$L217)),(4+$G217+(2-$G217)*0.5)/6*2,(4+$G217)/6)) *
_xlfn.IFS(AM$24-$I217 &lt;=1, 5/6, AM$24-$I217 &lt;=5, (7-(AM$24-$I217))/6, AND(AM$24-$I217 =6,NOT(_xlfn.IFNA(ISNUMBER(SEARCH("Rending",$L217)),FALSE))), (7-(AM$24-$I217))/6, AND(AM$24-$I217 &gt;=7,NOT(_xlfn.IFNA(ISNUMBER(SEARCH("Rending",$L217)),FALSE))), 0, AM$24-$I217 =7, (7-(AM$24-1-$I217))/6, AM$24-$I217 =8, (7-(AM$24-2-$I217))/6*2/3, AM$24-$I217 =9, (7-(AM$24-3-$I217))/6*1/3, TRUE, 0) *
IF(ISNUMBER(SEARCH("Ordinance",$L217)),7/6,1) *
IF(OR(ISNUMBER(SEARCH("Melee",$L217)),ISNUMBER(SEARCH("Bypass",$L217))),1.5,1)</f>
        <v>0</v>
      </c>
      <c r="AN217" s="17" cm="1">
        <f t="array" ref="AN217">$H217 *
IF(ISNUMBER(SEARCH("Rapid",$L217)),7/6,1) *
IF(OR(ISNUMBER(SEARCH("Beam",$L217)),ISNUMBER(SEARCH("Firestorm",$L217))),1, IF(ISNUMBER(SEARCH("Blast",$L217)),(4+$G217+(2-$G217)*0.5)/6*2,(4+$G217)/6)) *
_xlfn.IFS(AN$24-$I217 &lt;=1, 5/6, AN$24-$I217 &lt;=5, (7-(AN$24-$I217))/6, AND(AN$24-$I217 =6,NOT(_xlfn.IFNA(ISNUMBER(SEARCH("Rending",$L217)),FALSE))), (7-(AN$24-$I217))/6, AND(AN$24-$I217 &gt;=7,NOT(_xlfn.IFNA(ISNUMBER(SEARCH("Rending",$L217)),FALSE))), 0, AN$24-$I217 =7, (7-(AN$24-1-$I217))/6, AN$24-$I217 =8, (7-(AN$24-2-$I217))/6*2/3, AN$24-$I217 =9, (7-(AN$24-3-$I217))/6*1/3, TRUE, 0) *
IF(ISNUMBER(SEARCH("Ordinance",$L217)),7/6,1) *
IF(OR(ISNUMBER(SEARCH("Melee",$L217)),ISNUMBER(SEARCH("Bypass",$L217))),1.5,1)</f>
        <v>0</v>
      </c>
      <c r="AO217" s="17" cm="1">
        <f t="array" ref="AO217">$H217 *
IF(ISNUMBER(SEARCH("Rapid",$L217)),7/6,1) *
IF(OR(ISNUMBER(SEARCH("Beam",$L217)),ISNUMBER(SEARCH("Firestorm",$L217))),1, IF(ISNUMBER(SEARCH("Blast",$L217)),(4+$G217+(2-$G217)*0.5)/6*2,(4+$G217)/6)) *
_xlfn.IFS(AO$24-$I217 &lt;=1, 5/6, AO$24-$I217 &lt;=5, (7-(AO$24-$I217))/6, AND(AO$24-$I217 =6,NOT(_xlfn.IFNA(ISNUMBER(SEARCH("Rending",$L217)),FALSE))), (7-(AO$24-$I217))/6, AND(AO$24-$I217 &gt;=7,NOT(_xlfn.IFNA(ISNUMBER(SEARCH("Rending",$L217)),FALSE))), 0, AO$24-$I217 =7, (7-(AO$24-1-$I217))/6, AO$24-$I217 =8, (7-(AO$24-2-$I217))/6*2/3, AO$24-$I217 =9, (7-(AO$24-3-$I217))/6*1/3, TRUE, 0) *
IF(ISNUMBER(SEARCH("Ordinance",$L217)),7/6,1) *
IF(OR(ISNUMBER(SEARCH("Melee",$L217)),ISNUMBER(SEARCH("Bypass",$L217))),1.5,1)</f>
        <v>0</v>
      </c>
      <c r="AP217" s="17" cm="1">
        <f t="array" ref="AP217">$H217 *
IF(ISNUMBER(SEARCH("Rapid",$L217)),7/6,1) *
IF(OR(ISNUMBER(SEARCH("Beam",$L217)),ISNUMBER(SEARCH("Firestorm",$L217))),1, IF(ISNUMBER(SEARCH("Blast",$L217)),(4+$G217+(2-$G217)*0.5)/6*2,(4+$G217)/6)) *
_xlfn.IFS(AP$24-$I217 &lt;=1, 5/6, AP$24-$I217 &lt;=5, (7-(AP$24-$I217))/6, AND(AP$24-$I217 =6,NOT(_xlfn.IFNA(ISNUMBER(SEARCH("Rending",$L217)),FALSE))), (7-(AP$24-$I217))/6, AND(AP$24-$I217 &gt;=7,NOT(_xlfn.IFNA(ISNUMBER(SEARCH("Rending",$L217)),FALSE))), 0, AP$24-$I217 =7, (7-(AP$24-1-$I217))/6, AP$24-$I217 =8, (7-(AP$24-2-$I217))/6*2/3, AP$24-$I217 =9, (7-(AP$24-3-$I217))/6*1/3, TRUE, 0) *
IF(ISNUMBER(SEARCH("Ordinance",$L217)),7/6,1) *
IF(OR(ISNUMBER(SEARCH("Melee",$L217)),ISNUMBER(SEARCH("Bypass",$L217))),1.5,1)</f>
        <v>0</v>
      </c>
      <c r="AQ217" s="17" cm="1">
        <f t="array" ref="AQ217">$H217 *
IF(ISNUMBER(SEARCH("Rapid",$L217)),7/6,1) *
IF(OR(ISNUMBER(SEARCH("Beam",$L217)),ISNUMBER(SEARCH("Firestorm",$L217))),1, IF(ISNUMBER(SEARCH("Blast",$L217)),(4+$G217+(2-$G217)*0.5)/6*2,(4+$G217)/6)) *
_xlfn.IFS(AQ$24-$I217 &lt;=1, 5/6, AQ$24-$I217 &lt;=5, (7-(AQ$24-$I217))/6, AND(AQ$24-$I217 =6,NOT(_xlfn.IFNA(ISNUMBER(SEARCH("Rending",$L217)),FALSE))), (7-(AQ$24-$I217))/6, AND(AQ$24-$I217 &gt;=7,NOT(_xlfn.IFNA(ISNUMBER(SEARCH("Rending",$L217)),FALSE))), 0, AQ$24-$I217 =7, (7-(AQ$24-1-$I217))/6, AQ$24-$I217 =8, (7-(AQ$24-2-$I217))/6*2/3, AQ$24-$I217 =9, (7-(AQ$24-3-$I217))/6*1/3, TRUE, 0) *
IF(ISNUMBER(SEARCH("Ordinance",$L217)),7/6,1) *
IF(OR(ISNUMBER(SEARCH("Melee",$L217)),ISNUMBER(SEARCH("Bypass",$L217))),1.5,1)</f>
        <v>0</v>
      </c>
    </row>
    <row r="218" spans="1:48" x14ac:dyDescent="0.3">
      <c r="A218" t="str">
        <f>'40K9_Stats'!O23</f>
        <v>Heavy Wraithcannon</v>
      </c>
      <c r="B218" s="3">
        <v>6</v>
      </c>
      <c r="C218" s="3">
        <v>16</v>
      </c>
      <c r="E218" s="3">
        <v>1</v>
      </c>
      <c r="F218" s="10"/>
      <c r="G218" s="10">
        <v>-1</v>
      </c>
      <c r="H218" s="3">
        <v>1</v>
      </c>
      <c r="I218" s="3">
        <v>9</v>
      </c>
      <c r="J218" s="3" t="s">
        <v>598</v>
      </c>
      <c r="K218" s="3">
        <v>15</v>
      </c>
      <c r="V218" s="16">
        <f t="shared" si="65"/>
        <v>0.22222222222222221</v>
      </c>
      <c r="W218" s="16">
        <f t="shared" si="66"/>
        <v>0.33333333333333331</v>
      </c>
      <c r="X218" s="17" cm="1">
        <f t="array" ref="X218">$H218 *
IF(ISNUMBER(SEARCH("Rapid",$L218)),7/6,1) *
IF(OR(ISNUMBER(SEARCH("Beam",$L218)),ISNUMBER(SEARCH("Firestorm",$L218))),1, IF(ISNUMBER(SEARCH("Blast",$L218)),(4+$F218+(2-$F218)*0.5)/6*2,(4+$F218)/6)) *
IF(ISNUMBER(SEARCH("Fusion",$L218)), _xlfn.IFS(X$24-$I218 &lt;=1, 9/10, X$24-$I218 &lt;=10,(11-(X$24-$I218))/10, X$24-$I218 &gt;=11, 0),
_xlfn.IFS(X$24-$I218 &lt;=1, 5/6, X$24-$I218 &lt;=5, (7-(X$24-$I218))/6, AND(X$24-$I218 =6,NOT(_xlfn.IFNA(ISNUMBER(SEARCH("Rending",$L218)),FALSE))), (7-(X$24-$I218))/6, AND(X$24-$I218 &gt;=7,NOT(_xlfn.IFNA(ISNUMBER(SEARCH("Rending",$L218)),FALSE))), 0, X$24-$I218 =7, (7-(X$24-1-$I218))/6, X$24-$I218 =8, (7-(X$24-2-$I218))/6*2/3, X$24-$I218 =9, (7-(X$24-3-$I218))/6*1/3, TRUE, 0)) *
IF(ISNUMBER(SEARCH("Ordinance",$L218)),7/6,1) *
IF(OR(ISNUMBER(SEARCH("Melee",$L218)),ISNUMBER(SEARCH("Bypass",$L218))),1.5,1)</f>
        <v>0.55555555555555558</v>
      </c>
      <c r="Y218" s="17" cm="1">
        <f t="array" ref="Y218">$H218 *
IF(ISNUMBER(SEARCH("Rapid",$L218)),7/6,1) *
IF(OR(ISNUMBER(SEARCH("Beam",$L218)),ISNUMBER(SEARCH("Firestorm",$L218))),1, IF(ISNUMBER(SEARCH("Blast",$L218)),(4+$F218+(2-$F218)*0.5)/6*2,(4+$F218)/6)) *
IF(ISNUMBER(SEARCH("Fusion",$L218)), _xlfn.IFS(Y$24-$I218 &lt;=1, 9/10, Y$24-$I218 &lt;=10,(11-(Y$24-$I218))/10, Y$24-$I218 &gt;=11, 0),
_xlfn.IFS(Y$24-$I218 &lt;=1, 5/6, Y$24-$I218 &lt;=5, (7-(Y$24-$I218))/6, AND(Y$24-$I218 =6,NOT(_xlfn.IFNA(ISNUMBER(SEARCH("Rending",$L218)),FALSE))), (7-(Y$24-$I218))/6, AND(Y$24-$I218 &gt;=7,NOT(_xlfn.IFNA(ISNUMBER(SEARCH("Rending",$L218)),FALSE))), 0, Y$24-$I218 =7, (7-(Y$24-1-$I218))/6, Y$24-$I218 =8, (7-(Y$24-2-$I218))/6*2/3, Y$24-$I218 =9, (7-(Y$24-3-$I218))/6*1/3, TRUE, 0)) *
IF(ISNUMBER(SEARCH("Ordinance",$L218)),7/6,1) *
IF(OR(ISNUMBER(SEARCH("Melee",$L218)),ISNUMBER(SEARCH("Bypass",$L218))),1.5,1)</f>
        <v>0.55555555555555558</v>
      </c>
      <c r="Z218" s="17" cm="1">
        <f t="array" ref="Z218">$H218 *
IF(ISNUMBER(SEARCH("Rapid",$L218)),7/6,1) *
IF(OR(ISNUMBER(SEARCH("Beam",$L218)),ISNUMBER(SEARCH("Firestorm",$L218))),1, IF(ISNUMBER(SEARCH("Blast",$L218)),(4+$F218+(2-$F218)*0.5)/6*2,(4+$F218)/6)) *
IF(ISNUMBER(SEARCH("Fusion",$L218)), _xlfn.IFS(Z$24-$I218 &lt;=1, 9/10, Z$24-$I218 &lt;=10,(11-(Z$24-$I218))/10, Z$24-$I218 &gt;=11, 0),
_xlfn.IFS(Z$24-$I218 &lt;=1, 5/6, Z$24-$I218 &lt;=5, (7-(Z$24-$I218))/6, AND(Z$24-$I218 =6,NOT(_xlfn.IFNA(ISNUMBER(SEARCH("Rending",$L218)),FALSE))), (7-(Z$24-$I218))/6, AND(Z$24-$I218 &gt;=7,NOT(_xlfn.IFNA(ISNUMBER(SEARCH("Rending",$L218)),FALSE))), 0, Z$24-$I218 =7, (7-(Z$24-1-$I218))/6, Z$24-$I218 =8, (7-(Z$24-2-$I218))/6*2/3, Z$24-$I218 =9, (7-(Z$24-3-$I218))/6*1/3, TRUE, 0)) *
IF(ISNUMBER(SEARCH("Ordinance",$L218)),7/6,1) *
IF(OR(ISNUMBER(SEARCH("Melee",$L218)),ISNUMBER(SEARCH("Bypass",$L218))),1.5,1)</f>
        <v>0.55555555555555558</v>
      </c>
      <c r="AA218" s="17" cm="1">
        <f t="array" ref="AA218">$H218 *
IF(ISNUMBER(SEARCH("Rapid",$L218)),7/6,1) *
IF(OR(ISNUMBER(SEARCH("Beam",$L218)),ISNUMBER(SEARCH("Firestorm",$L218))),1, IF(ISNUMBER(SEARCH("Blast",$L218)),(4+$F218+(2-$F218)*0.5)/6*2,(4+$F218)/6)) *
IF(ISNUMBER(SEARCH("Fusion",$L218)), _xlfn.IFS(AA$24-$I218 &lt;=1, 9/10, AA$24-$I218 &lt;=10,(11-(AA$24-$I218))/10, AA$24-$I218 &gt;=11, 0),
_xlfn.IFS(AA$24-$I218 &lt;=1, 5/6, AA$24-$I218 &lt;=5, (7-(AA$24-$I218))/6, AND(AA$24-$I218 =6,NOT(_xlfn.IFNA(ISNUMBER(SEARCH("Rending",$L218)),FALSE))), (7-(AA$24-$I218))/6, AND(AA$24-$I218 &gt;=7,NOT(_xlfn.IFNA(ISNUMBER(SEARCH("Rending",$L218)),FALSE))), 0, AA$24-$I218 =7, (7-(AA$24-1-$I218))/6, AA$24-$I218 =8, (7-(AA$24-2-$I218))/6*2/3, AA$24-$I218 =9, (7-(AA$24-3-$I218))/6*1/3, TRUE, 0)) *
IF(ISNUMBER(SEARCH("Ordinance",$L218)),7/6,1) *
IF(OR(ISNUMBER(SEARCH("Melee",$L218)),ISNUMBER(SEARCH("Bypass",$L218))),1.5,1)</f>
        <v>0.44444444444444442</v>
      </c>
      <c r="AB218" s="17" cm="1">
        <f t="array" ref="AB218">$H218 *
IF(ISNUMBER(SEARCH("Rapid",$L218)),7/6,1) *
IF(OR(ISNUMBER(SEARCH("Beam",$L218)),ISNUMBER(SEARCH("Firestorm",$L218))),1, IF(ISNUMBER(SEARCH("Blast",$L218)),(4+$F218+(2-$F218)*0.5)/6*2,(4+$F218)/6)) *
IF(ISNUMBER(SEARCH("Fusion",$L218)), _xlfn.IFS(AB$24-$I218 &lt;=1, 9/10, AB$24-$I218 &lt;=10,(11-(AB$24-$I218))/10, AB$24-$I218 &gt;=11, 0),
_xlfn.IFS(AB$24-$I218 &lt;=1, 5/6, AB$24-$I218 &lt;=5, (7-(AB$24-$I218))/6, AND(AB$24-$I218 =6,NOT(_xlfn.IFNA(ISNUMBER(SEARCH("Rending",$L218)),FALSE))), (7-(AB$24-$I218))/6, AND(AB$24-$I218 &gt;=7,NOT(_xlfn.IFNA(ISNUMBER(SEARCH("Rending",$L218)),FALSE))), 0, AB$24-$I218 =7, (7-(AB$24-1-$I218))/6, AB$24-$I218 =8, (7-(AB$24-2-$I218))/6*2/3, AB$24-$I218 =9, (7-(AB$24-3-$I218))/6*1/3, TRUE, 0)) *
IF(ISNUMBER(SEARCH("Ordinance",$L218)),7/6,1) *
IF(OR(ISNUMBER(SEARCH("Melee",$L218)),ISNUMBER(SEARCH("Bypass",$L218))),1.5,1)</f>
        <v>0.33333333333333331</v>
      </c>
      <c r="AC218" s="17" cm="1">
        <f t="array" ref="AC218">$H218 *
IF(ISNUMBER(SEARCH("Rapid",$L218)),7/6,1) *
IF(OR(ISNUMBER(SEARCH("Beam",$L218)),ISNUMBER(SEARCH("Firestorm",$L218))),1, IF(ISNUMBER(SEARCH("Blast",$L218)),(4+$F218+(2-$F218)*0.5)/6*2,(4+$F218)/6)) *
IF(ISNUMBER(SEARCH("Fusion",$L218)), _xlfn.IFS(AC$24-$I218 &lt;=1, 9/10, AC$24-$I218 &lt;=10,(11-(AC$24-$I218))/10, AC$24-$I218 &gt;=11, 0),
_xlfn.IFS(AC$24-$I218 &lt;=1, 5/6, AC$24-$I218 &lt;=5, (7-(AC$24-$I218))/6, AND(AC$24-$I218 =6,NOT(_xlfn.IFNA(ISNUMBER(SEARCH("Rending",$L218)),FALSE))), (7-(AC$24-$I218))/6, AND(AC$24-$I218 &gt;=7,NOT(_xlfn.IFNA(ISNUMBER(SEARCH("Rending",$L218)),FALSE))), 0, AC$24-$I218 =7, (7-(AC$24-1-$I218))/6, AC$24-$I218 =8, (7-(AC$24-2-$I218))/6*2/3, AC$24-$I218 =9, (7-(AC$24-3-$I218))/6*1/3, TRUE, 0)) *
IF(ISNUMBER(SEARCH("Ordinance",$L218)),7/6,1) *
IF(OR(ISNUMBER(SEARCH("Melee",$L218)),ISNUMBER(SEARCH("Bypass",$L218))),1.5,1)</f>
        <v>0.22222222222222221</v>
      </c>
      <c r="AD218" s="17" cm="1">
        <f t="array" ref="AD218">$H218 *
IF(ISNUMBER(SEARCH("Rapid",$L218)),7/6,1) *
IF(OR(ISNUMBER(SEARCH("Beam",$L218)),ISNUMBER(SEARCH("Firestorm",$L218))),1, IF(ISNUMBER(SEARCH("Blast",$L218)),(4+$F218+(2-$F218)*0.5)/6*2,(4+$F218)/6)) *
IF(ISNUMBER(SEARCH("Fusion",$L218)), _xlfn.IFS(AD$24-$I218 &lt;=1, 9/10, AD$24-$I218 &lt;=10,(11-(AD$24-$I218))/10, AD$24-$I218 &gt;=11, 0),
_xlfn.IFS(AD$24-$I218 &lt;=1, 5/6, AD$24-$I218 &lt;=5, (7-(AD$24-$I218))/6, AND(AD$24-$I218 =6,NOT(_xlfn.IFNA(ISNUMBER(SEARCH("Rending",$L218)),FALSE))), (7-(AD$24-$I218))/6, AND(AD$24-$I218 &gt;=7,NOT(_xlfn.IFNA(ISNUMBER(SEARCH("Rending",$L218)),FALSE))), 0, AD$24-$I218 =7, (7-(AD$24-1-$I218))/6, AD$24-$I218 =8, (7-(AD$24-2-$I218))/6*2/3, AD$24-$I218 =9, (7-(AD$24-3-$I218))/6*1/3, TRUE, 0)) *
IF(ISNUMBER(SEARCH("Ordinance",$L218)),7/6,1) *
IF(OR(ISNUMBER(SEARCH("Melee",$L218)),ISNUMBER(SEARCH("Bypass",$L218))),1.5,1)</f>
        <v>0.1111111111111111</v>
      </c>
      <c r="AE218" s="17" cm="1">
        <f t="array" ref="AE218">$H218 *
IF(ISNUMBER(SEARCH("Rapid",$L218)),7/6,1) *
IF(OR(ISNUMBER(SEARCH("Beam",$L218)),ISNUMBER(SEARCH("Firestorm",$L218))),1, IF(ISNUMBER(SEARCH("Blast",$L218)),(4+$F218+(2-$F218)*0.5)/6*2,(4+$F218)/6)) *
IF(ISNUMBER(SEARCH("Fusion",$L218)), _xlfn.IFS(AE$24-$I218 &lt;=1, 9/10, AE$24-$I218 &lt;=10,(11-(AE$24-$I218))/10, AE$24-$I218 &gt;=11, 0),
_xlfn.IFS(AE$24-$I218 &lt;=1, 5/6, AE$24-$I218 &lt;=5, (7-(AE$24-$I218))/6, AND(AE$24-$I218 =6,NOT(_xlfn.IFNA(ISNUMBER(SEARCH("Rending",$L218)),FALSE))), (7-(AE$24-$I218))/6, AND(AE$24-$I218 &gt;=7,NOT(_xlfn.IFNA(ISNUMBER(SEARCH("Rending",$L218)),FALSE))), 0, AE$24-$I218 =7, (7-(AE$24-1-$I218))/6, AE$24-$I218 =8, (7-(AE$24-2-$I218))/6*2/3, AE$24-$I218 =9, (7-(AE$24-3-$I218))/6*1/3, TRUE, 0)) *
IF(ISNUMBER(SEARCH("Ordinance",$L218)),7/6,1) *
IF(OR(ISNUMBER(SEARCH("Melee",$L218)),ISNUMBER(SEARCH("Bypass",$L218))),1.5,1)</f>
        <v>0</v>
      </c>
      <c r="AF218" s="17" cm="1">
        <f t="array" ref="AF218">$H218 *
IF(ISNUMBER(SEARCH("Rapid",$L218)),7/6,1) *
IF(OR(ISNUMBER(SEARCH("Beam",$L218)),ISNUMBER(SEARCH("Firestorm",$L218))),1, IF(ISNUMBER(SEARCH("Blast",$L218)),(4+$F218+(2-$F218)*0.5)/6*2,(4+$F218)/6)) *
IF(ISNUMBER(SEARCH("Fusion",$L218)), _xlfn.IFS(AF$24-$I218 &lt;=1, 9/10, AF$24-$I218 &lt;=10,(11-(AF$24-$I218))/10, AF$24-$I218 &gt;=11, 0),
_xlfn.IFS(AF$24-$I218 &lt;=1, 5/6, AF$24-$I218 &lt;=5, (7-(AF$24-$I218))/6, AND(AF$24-$I218 =6,NOT(_xlfn.IFNA(ISNUMBER(SEARCH("Rending",$L218)),FALSE))), (7-(AF$24-$I218))/6, AND(AF$24-$I218 &gt;=7,NOT(_xlfn.IFNA(ISNUMBER(SEARCH("Rending",$L218)),FALSE))), 0, AF$24-$I218 =7, (7-(AF$24-1-$I218))/6, AF$24-$I218 =8, (7-(AF$24-2-$I218))/6*2/3, AF$24-$I218 =9, (7-(AF$24-3-$I218))/6*1/3, TRUE, 0)) *
IF(ISNUMBER(SEARCH("Ordinance",$L218)),7/6,1) *
IF(OR(ISNUMBER(SEARCH("Melee",$L218)),ISNUMBER(SEARCH("Bypass",$L218))),1.5,1)</f>
        <v>0</v>
      </c>
      <c r="AG218" s="16">
        <f t="shared" si="67"/>
        <v>0.16666666666666666</v>
      </c>
      <c r="AH218" s="16">
        <f t="shared" si="68"/>
        <v>0.25</v>
      </c>
      <c r="AI218" s="17" cm="1">
        <f t="array" ref="AI218">$H218 *
IF(ISNUMBER(SEARCH("Rapid",$L218)),7/6,1) *
IF(OR(ISNUMBER(SEARCH("Beam",$L218)),ISNUMBER(SEARCH("Firestorm",$L218))),1, IF(ISNUMBER(SEARCH("Blast",$L218)),(4+$G218+(2-$G218)*0.5)/6*2,(4+$G218)/6)) *
_xlfn.IFS(AI$24-$I218 &lt;=1, 5/6, AI$24-$I218 &lt;=5, (7-(AI$24-$I218))/6, AND(AI$24-$I218 =6,NOT(_xlfn.IFNA(ISNUMBER(SEARCH("Rending",$L218)),FALSE))), (7-(AI$24-$I218))/6, AND(AI$24-$I218 &gt;=7,NOT(_xlfn.IFNA(ISNUMBER(SEARCH("Rending",$L218)),FALSE))), 0, AI$24-$I218 =7, (7-(AI$24-1-$I218))/6, AI$24-$I218 =8, (7-(AI$24-2-$I218))/6*2/3, AI$24-$I218 =9, (7-(AI$24-3-$I218))/6*1/3, TRUE, 0) *
IF(ISNUMBER(SEARCH("Ordinance",$L218)),7/6,1) *
IF(OR(ISNUMBER(SEARCH("Melee",$L218)),ISNUMBER(SEARCH("Bypass",$L218))),1.5,1)</f>
        <v>0.41666666666666669</v>
      </c>
      <c r="AJ218" s="17" cm="1">
        <f t="array" ref="AJ218">$H218 *
IF(ISNUMBER(SEARCH("Rapid",$L218)),7/6,1) *
IF(OR(ISNUMBER(SEARCH("Beam",$L218)),ISNUMBER(SEARCH("Firestorm",$L218))),1, IF(ISNUMBER(SEARCH("Blast",$L218)),(4+$G218+(2-$G218)*0.5)/6*2,(4+$G218)/6)) *
_xlfn.IFS(AJ$24-$I218 &lt;=1, 5/6, AJ$24-$I218 &lt;=5, (7-(AJ$24-$I218))/6, AND(AJ$24-$I218 =6,NOT(_xlfn.IFNA(ISNUMBER(SEARCH("Rending",$L218)),FALSE))), (7-(AJ$24-$I218))/6, AND(AJ$24-$I218 &gt;=7,NOT(_xlfn.IFNA(ISNUMBER(SEARCH("Rending",$L218)),FALSE))), 0, AJ$24-$I218 =7, (7-(AJ$24-1-$I218))/6, AJ$24-$I218 =8, (7-(AJ$24-2-$I218))/6*2/3, AJ$24-$I218 =9, (7-(AJ$24-3-$I218))/6*1/3, TRUE, 0) *
IF(ISNUMBER(SEARCH("Ordinance",$L218)),7/6,1) *
IF(OR(ISNUMBER(SEARCH("Melee",$L218)),ISNUMBER(SEARCH("Bypass",$L218))),1.5,1)</f>
        <v>0.41666666666666669</v>
      </c>
      <c r="AK218" s="17" cm="1">
        <f t="array" ref="AK218">$H218 *
IF(ISNUMBER(SEARCH("Rapid",$L218)),7/6,1) *
IF(OR(ISNUMBER(SEARCH("Beam",$L218)),ISNUMBER(SEARCH("Firestorm",$L218))),1, IF(ISNUMBER(SEARCH("Blast",$L218)),(4+$G218+(2-$G218)*0.5)/6*2,(4+$G218)/6)) *
_xlfn.IFS(AK$24-$I218 &lt;=1, 5/6, AK$24-$I218 &lt;=5, (7-(AK$24-$I218))/6, AND(AK$24-$I218 =6,NOT(_xlfn.IFNA(ISNUMBER(SEARCH("Rending",$L218)),FALSE))), (7-(AK$24-$I218))/6, AND(AK$24-$I218 &gt;=7,NOT(_xlfn.IFNA(ISNUMBER(SEARCH("Rending",$L218)),FALSE))), 0, AK$24-$I218 =7, (7-(AK$24-1-$I218))/6, AK$24-$I218 =8, (7-(AK$24-2-$I218))/6*2/3, AK$24-$I218 =9, (7-(AK$24-3-$I218))/6*1/3, TRUE, 0) *
IF(ISNUMBER(SEARCH("Ordinance",$L218)),7/6,1) *
IF(OR(ISNUMBER(SEARCH("Melee",$L218)),ISNUMBER(SEARCH("Bypass",$L218))),1.5,1)</f>
        <v>0.41666666666666669</v>
      </c>
      <c r="AL218" s="17" cm="1">
        <f t="array" ref="AL218">$H218 *
IF(ISNUMBER(SEARCH("Rapid",$L218)),7/6,1) *
IF(OR(ISNUMBER(SEARCH("Beam",$L218)),ISNUMBER(SEARCH("Firestorm",$L218))),1, IF(ISNUMBER(SEARCH("Blast",$L218)),(4+$G218+(2-$G218)*0.5)/6*2,(4+$G218)/6)) *
_xlfn.IFS(AL$24-$I218 &lt;=1, 5/6, AL$24-$I218 &lt;=5, (7-(AL$24-$I218))/6, AND(AL$24-$I218 =6,NOT(_xlfn.IFNA(ISNUMBER(SEARCH("Rending",$L218)),FALSE))), (7-(AL$24-$I218))/6, AND(AL$24-$I218 &gt;=7,NOT(_xlfn.IFNA(ISNUMBER(SEARCH("Rending",$L218)),FALSE))), 0, AL$24-$I218 =7, (7-(AL$24-1-$I218))/6, AL$24-$I218 =8, (7-(AL$24-2-$I218))/6*2/3, AL$24-$I218 =9, (7-(AL$24-3-$I218))/6*1/3, TRUE, 0) *
IF(ISNUMBER(SEARCH("Ordinance",$L218)),7/6,1) *
IF(OR(ISNUMBER(SEARCH("Melee",$L218)),ISNUMBER(SEARCH("Bypass",$L218))),1.5,1)</f>
        <v>0.33333333333333331</v>
      </c>
      <c r="AM218" s="17" cm="1">
        <f t="array" ref="AM218">$H218 *
IF(ISNUMBER(SEARCH("Rapid",$L218)),7/6,1) *
IF(OR(ISNUMBER(SEARCH("Beam",$L218)),ISNUMBER(SEARCH("Firestorm",$L218))),1, IF(ISNUMBER(SEARCH("Blast",$L218)),(4+$G218+(2-$G218)*0.5)/6*2,(4+$G218)/6)) *
_xlfn.IFS(AM$24-$I218 &lt;=1, 5/6, AM$24-$I218 &lt;=5, (7-(AM$24-$I218))/6, AND(AM$24-$I218 =6,NOT(_xlfn.IFNA(ISNUMBER(SEARCH("Rending",$L218)),FALSE))), (7-(AM$24-$I218))/6, AND(AM$24-$I218 &gt;=7,NOT(_xlfn.IFNA(ISNUMBER(SEARCH("Rending",$L218)),FALSE))), 0, AM$24-$I218 =7, (7-(AM$24-1-$I218))/6, AM$24-$I218 =8, (7-(AM$24-2-$I218))/6*2/3, AM$24-$I218 =9, (7-(AM$24-3-$I218))/6*1/3, TRUE, 0) *
IF(ISNUMBER(SEARCH("Ordinance",$L218)),7/6,1) *
IF(OR(ISNUMBER(SEARCH("Melee",$L218)),ISNUMBER(SEARCH("Bypass",$L218))),1.5,1)</f>
        <v>0.25</v>
      </c>
      <c r="AN218" s="17" cm="1">
        <f t="array" ref="AN218">$H218 *
IF(ISNUMBER(SEARCH("Rapid",$L218)),7/6,1) *
IF(OR(ISNUMBER(SEARCH("Beam",$L218)),ISNUMBER(SEARCH("Firestorm",$L218))),1, IF(ISNUMBER(SEARCH("Blast",$L218)),(4+$G218+(2-$G218)*0.5)/6*2,(4+$G218)/6)) *
_xlfn.IFS(AN$24-$I218 &lt;=1, 5/6, AN$24-$I218 &lt;=5, (7-(AN$24-$I218))/6, AND(AN$24-$I218 =6,NOT(_xlfn.IFNA(ISNUMBER(SEARCH("Rending",$L218)),FALSE))), (7-(AN$24-$I218))/6, AND(AN$24-$I218 &gt;=7,NOT(_xlfn.IFNA(ISNUMBER(SEARCH("Rending",$L218)),FALSE))), 0, AN$24-$I218 =7, (7-(AN$24-1-$I218))/6, AN$24-$I218 =8, (7-(AN$24-2-$I218))/6*2/3, AN$24-$I218 =9, (7-(AN$24-3-$I218))/6*1/3, TRUE, 0) *
IF(ISNUMBER(SEARCH("Ordinance",$L218)),7/6,1) *
IF(OR(ISNUMBER(SEARCH("Melee",$L218)),ISNUMBER(SEARCH("Bypass",$L218))),1.5,1)</f>
        <v>0.16666666666666666</v>
      </c>
      <c r="AO218" s="17" cm="1">
        <f t="array" ref="AO218">$H218 *
IF(ISNUMBER(SEARCH("Rapid",$L218)),7/6,1) *
IF(OR(ISNUMBER(SEARCH("Beam",$L218)),ISNUMBER(SEARCH("Firestorm",$L218))),1, IF(ISNUMBER(SEARCH("Blast",$L218)),(4+$G218+(2-$G218)*0.5)/6*2,(4+$G218)/6)) *
_xlfn.IFS(AO$24-$I218 &lt;=1, 5/6, AO$24-$I218 &lt;=5, (7-(AO$24-$I218))/6, AND(AO$24-$I218 =6,NOT(_xlfn.IFNA(ISNUMBER(SEARCH("Rending",$L218)),FALSE))), (7-(AO$24-$I218))/6, AND(AO$24-$I218 &gt;=7,NOT(_xlfn.IFNA(ISNUMBER(SEARCH("Rending",$L218)),FALSE))), 0, AO$24-$I218 =7, (7-(AO$24-1-$I218))/6, AO$24-$I218 =8, (7-(AO$24-2-$I218))/6*2/3, AO$24-$I218 =9, (7-(AO$24-3-$I218))/6*1/3, TRUE, 0) *
IF(ISNUMBER(SEARCH("Ordinance",$L218)),7/6,1) *
IF(OR(ISNUMBER(SEARCH("Melee",$L218)),ISNUMBER(SEARCH("Bypass",$L218))),1.5,1)</f>
        <v>8.3333333333333329E-2</v>
      </c>
      <c r="AP218" s="17" cm="1">
        <f t="array" ref="AP218">$H218 *
IF(ISNUMBER(SEARCH("Rapid",$L218)),7/6,1) *
IF(OR(ISNUMBER(SEARCH("Beam",$L218)),ISNUMBER(SEARCH("Firestorm",$L218))),1, IF(ISNUMBER(SEARCH("Blast",$L218)),(4+$G218+(2-$G218)*0.5)/6*2,(4+$G218)/6)) *
_xlfn.IFS(AP$24-$I218 &lt;=1, 5/6, AP$24-$I218 &lt;=5, (7-(AP$24-$I218))/6, AND(AP$24-$I218 =6,NOT(_xlfn.IFNA(ISNUMBER(SEARCH("Rending",$L218)),FALSE))), (7-(AP$24-$I218))/6, AND(AP$24-$I218 &gt;=7,NOT(_xlfn.IFNA(ISNUMBER(SEARCH("Rending",$L218)),FALSE))), 0, AP$24-$I218 =7, (7-(AP$24-1-$I218))/6, AP$24-$I218 =8, (7-(AP$24-2-$I218))/6*2/3, AP$24-$I218 =9, (7-(AP$24-3-$I218))/6*1/3, TRUE, 0) *
IF(ISNUMBER(SEARCH("Ordinance",$L218)),7/6,1) *
IF(OR(ISNUMBER(SEARCH("Melee",$L218)),ISNUMBER(SEARCH("Bypass",$L218))),1.5,1)</f>
        <v>0</v>
      </c>
      <c r="AQ218" s="17" cm="1">
        <f t="array" ref="AQ218">$H218 *
IF(ISNUMBER(SEARCH("Rapid",$L218)),7/6,1) *
IF(OR(ISNUMBER(SEARCH("Beam",$L218)),ISNUMBER(SEARCH("Firestorm",$L218))),1, IF(ISNUMBER(SEARCH("Blast",$L218)),(4+$G218+(2-$G218)*0.5)/6*2,(4+$G218)/6)) *
_xlfn.IFS(AQ$24-$I218 &lt;=1, 5/6, AQ$24-$I218 &lt;=5, (7-(AQ$24-$I218))/6, AND(AQ$24-$I218 =6,NOT(_xlfn.IFNA(ISNUMBER(SEARCH("Rending",$L218)),FALSE))), (7-(AQ$24-$I218))/6, AND(AQ$24-$I218 &gt;=7,NOT(_xlfn.IFNA(ISNUMBER(SEARCH("Rending",$L218)),FALSE))), 0, AQ$24-$I218 =7, (7-(AQ$24-1-$I218))/6, AQ$24-$I218 =8, (7-(AQ$24-2-$I218))/6*2/3, AQ$24-$I218 =9, (7-(AQ$24-3-$I218))/6*1/3, TRUE, 0) *
IF(ISNUMBER(SEARCH("Ordinance",$L218)),7/6,1) *
IF(OR(ISNUMBER(SEARCH("Melee",$L218)),ISNUMBER(SEARCH("Bypass",$L218))),1.5,1)</f>
        <v>0</v>
      </c>
      <c r="AS218" s="16">
        <f t="shared" ref="AS218:AT223" si="71">IF($E218=1,AG218*3,IF($E218=2,2*AG218,1.1*AG218))/3</f>
        <v>0.16666666666666666</v>
      </c>
      <c r="AT218" s="16">
        <f t="shared" si="71"/>
        <v>0.25</v>
      </c>
      <c r="AU218" s="16">
        <f>IF(D218+E218=3,
 IF(E218=3, 2.5*AI218,
  IF(E218=2, 1.8*AI218+0.7*X218,
   IF(E218=1, 0.95*AI218+1.55*X218,
    2.5*X218))),
 IF(D218+E218=2,
  IF(E218=2, 1.55*AI218,
   IF(E218 =1, 0.85*AI218+0.7*X218,
    1.55*X218)),
  IF(E218=1, 0.95*AI218,
   0.7*X218))
)/3</f>
        <v>0.13194444444444445</v>
      </c>
      <c r="AV218" s="2">
        <v>11</v>
      </c>
    </row>
    <row r="219" spans="1:48" x14ac:dyDescent="0.3">
      <c r="A219" t="str">
        <f>'40K9_Stats'!O24</f>
        <v>Suncannon</v>
      </c>
      <c r="B219" s="3">
        <v>12</v>
      </c>
      <c r="C219" s="3">
        <v>24</v>
      </c>
      <c r="D219" s="3">
        <v>1</v>
      </c>
      <c r="E219" s="3">
        <v>1</v>
      </c>
      <c r="F219" s="10">
        <v>1</v>
      </c>
      <c r="G219" s="10"/>
      <c r="H219" s="3">
        <v>2</v>
      </c>
      <c r="I219" s="3">
        <v>6</v>
      </c>
      <c r="J219" s="3" t="s">
        <v>598</v>
      </c>
      <c r="K219" s="3">
        <v>20</v>
      </c>
      <c r="L219" s="3" t="s">
        <v>480</v>
      </c>
      <c r="V219" s="16">
        <f t="shared" si="65"/>
        <v>0.64814814814814814</v>
      </c>
      <c r="W219" s="16">
        <f t="shared" si="66"/>
        <v>0.97222222222222232</v>
      </c>
      <c r="X219" s="17" cm="1">
        <f t="array" ref="X219">$H219 *
IF(ISNUMBER(SEARCH("Rapid",$L219)),7/6,1) *
IF(OR(ISNUMBER(SEARCH("Beam",$L219)),ISNUMBER(SEARCH("Firestorm",$L219))),1, IF(ISNUMBER(SEARCH("Blast",$L219)),(4+$F219+(2-$F219)*0.5)/6*2,(4+$F219)/6)) *
IF(ISNUMBER(SEARCH("Fusion",$L219)), _xlfn.IFS(X$24-$I219 &lt;=1, 9/10, X$24-$I219 &lt;=10,(11-(X$24-$I219))/10, X$24-$I219 &gt;=11, 0),
_xlfn.IFS(X$24-$I219 &lt;=1, 5/6, X$24-$I219 &lt;=5, (7-(X$24-$I219))/6, AND(X$24-$I219 =6,NOT(_xlfn.IFNA(ISNUMBER(SEARCH("Rending",$L219)),FALSE))), (7-(X$24-$I219))/6, AND(X$24-$I219 &gt;=7,NOT(_xlfn.IFNA(ISNUMBER(SEARCH("Rending",$L219)),FALSE))), 0, X$24-$I219 =7, (7-(X$24-1-$I219))/6, X$24-$I219 =8, (7-(X$24-2-$I219))/6*2/3, X$24-$I219 =9, (7-(X$24-3-$I219))/6*1/3, TRUE, 0)) *
IF(ISNUMBER(SEARCH("Ordinance",$L219)),7/6,1) *
IF(OR(ISNUMBER(SEARCH("Melee",$L219)),ISNUMBER(SEARCH("Bypass",$L219))),1.5,1)</f>
        <v>1.2962962962962963</v>
      </c>
      <c r="Y219" s="17" cm="1">
        <f t="array" ref="Y219">$H219 *
IF(ISNUMBER(SEARCH("Rapid",$L219)),7/6,1) *
IF(OR(ISNUMBER(SEARCH("Beam",$L219)),ISNUMBER(SEARCH("Firestorm",$L219))),1, IF(ISNUMBER(SEARCH("Blast",$L219)),(4+$F219+(2-$F219)*0.5)/6*2,(4+$F219)/6)) *
IF(ISNUMBER(SEARCH("Fusion",$L219)), _xlfn.IFS(Y$24-$I219 &lt;=1, 9/10, Y$24-$I219 &lt;=10,(11-(Y$24-$I219))/10, Y$24-$I219 &gt;=11, 0),
_xlfn.IFS(Y$24-$I219 &lt;=1, 5/6, Y$24-$I219 &lt;=5, (7-(Y$24-$I219))/6, AND(Y$24-$I219 =6,NOT(_xlfn.IFNA(ISNUMBER(SEARCH("Rending",$L219)),FALSE))), (7-(Y$24-$I219))/6, AND(Y$24-$I219 &gt;=7,NOT(_xlfn.IFNA(ISNUMBER(SEARCH("Rending",$L219)),FALSE))), 0, Y$24-$I219 =7, (7-(Y$24-1-$I219))/6, Y$24-$I219 =8, (7-(Y$24-2-$I219))/6*2/3, Y$24-$I219 =9, (7-(Y$24-3-$I219))/6*1/3, TRUE, 0)) *
IF(ISNUMBER(SEARCH("Ordinance",$L219)),7/6,1) *
IF(OR(ISNUMBER(SEARCH("Melee",$L219)),ISNUMBER(SEARCH("Bypass",$L219))),1.5,1)</f>
        <v>0.97222222222222232</v>
      </c>
      <c r="Z219" s="17" cm="1">
        <f t="array" ref="Z219">$H219 *
IF(ISNUMBER(SEARCH("Rapid",$L219)),7/6,1) *
IF(OR(ISNUMBER(SEARCH("Beam",$L219)),ISNUMBER(SEARCH("Firestorm",$L219))),1, IF(ISNUMBER(SEARCH("Blast",$L219)),(4+$F219+(2-$F219)*0.5)/6*2,(4+$F219)/6)) *
IF(ISNUMBER(SEARCH("Fusion",$L219)), _xlfn.IFS(Z$24-$I219 &lt;=1, 9/10, Z$24-$I219 &lt;=10,(11-(Z$24-$I219))/10, Z$24-$I219 &gt;=11, 0),
_xlfn.IFS(Z$24-$I219 &lt;=1, 5/6, Z$24-$I219 &lt;=5, (7-(Z$24-$I219))/6, AND(Z$24-$I219 =6,NOT(_xlfn.IFNA(ISNUMBER(SEARCH("Rending",$L219)),FALSE))), (7-(Z$24-$I219))/6, AND(Z$24-$I219 &gt;=7,NOT(_xlfn.IFNA(ISNUMBER(SEARCH("Rending",$L219)),FALSE))), 0, Z$24-$I219 =7, (7-(Z$24-1-$I219))/6, Z$24-$I219 =8, (7-(Z$24-2-$I219))/6*2/3, Z$24-$I219 =9, (7-(Z$24-3-$I219))/6*1/3, TRUE, 0)) *
IF(ISNUMBER(SEARCH("Ordinance",$L219)),7/6,1) *
IF(OR(ISNUMBER(SEARCH("Melee",$L219)),ISNUMBER(SEARCH("Bypass",$L219))),1.5,1)</f>
        <v>0.64814814814814814</v>
      </c>
      <c r="AA219" s="17" cm="1">
        <f t="array" ref="AA219">$H219 *
IF(ISNUMBER(SEARCH("Rapid",$L219)),7/6,1) *
IF(OR(ISNUMBER(SEARCH("Beam",$L219)),ISNUMBER(SEARCH("Firestorm",$L219))),1, IF(ISNUMBER(SEARCH("Blast",$L219)),(4+$F219+(2-$F219)*0.5)/6*2,(4+$F219)/6)) *
IF(ISNUMBER(SEARCH("Fusion",$L219)), _xlfn.IFS(AA$24-$I219 &lt;=1, 9/10, AA$24-$I219 &lt;=10,(11-(AA$24-$I219))/10, AA$24-$I219 &gt;=11, 0),
_xlfn.IFS(AA$24-$I219 &lt;=1, 5/6, AA$24-$I219 &lt;=5, (7-(AA$24-$I219))/6, AND(AA$24-$I219 =6,NOT(_xlfn.IFNA(ISNUMBER(SEARCH("Rending",$L219)),FALSE))), (7-(AA$24-$I219))/6, AND(AA$24-$I219 &gt;=7,NOT(_xlfn.IFNA(ISNUMBER(SEARCH("Rending",$L219)),FALSE))), 0, AA$24-$I219 =7, (7-(AA$24-1-$I219))/6, AA$24-$I219 =8, (7-(AA$24-2-$I219))/6*2/3, AA$24-$I219 =9, (7-(AA$24-3-$I219))/6*1/3, TRUE, 0)) *
IF(ISNUMBER(SEARCH("Ordinance",$L219)),7/6,1) *
IF(OR(ISNUMBER(SEARCH("Melee",$L219)),ISNUMBER(SEARCH("Bypass",$L219))),1.5,1)</f>
        <v>0.32407407407407407</v>
      </c>
      <c r="AB219" s="17" cm="1">
        <f t="array" ref="AB219">$H219 *
IF(ISNUMBER(SEARCH("Rapid",$L219)),7/6,1) *
IF(OR(ISNUMBER(SEARCH("Beam",$L219)),ISNUMBER(SEARCH("Firestorm",$L219))),1, IF(ISNUMBER(SEARCH("Blast",$L219)),(4+$F219+(2-$F219)*0.5)/6*2,(4+$F219)/6)) *
IF(ISNUMBER(SEARCH("Fusion",$L219)), _xlfn.IFS(AB$24-$I219 &lt;=1, 9/10, AB$24-$I219 &lt;=10,(11-(AB$24-$I219))/10, AB$24-$I219 &gt;=11, 0),
_xlfn.IFS(AB$24-$I219 &lt;=1, 5/6, AB$24-$I219 &lt;=5, (7-(AB$24-$I219))/6, AND(AB$24-$I219 =6,NOT(_xlfn.IFNA(ISNUMBER(SEARCH("Rending",$L219)),FALSE))), (7-(AB$24-$I219))/6, AND(AB$24-$I219 &gt;=7,NOT(_xlfn.IFNA(ISNUMBER(SEARCH("Rending",$L219)),FALSE))), 0, AB$24-$I219 =7, (7-(AB$24-1-$I219))/6, AB$24-$I219 =8, (7-(AB$24-2-$I219))/6*2/3, AB$24-$I219 =9, (7-(AB$24-3-$I219))/6*1/3, TRUE, 0)) *
IF(ISNUMBER(SEARCH("Ordinance",$L219)),7/6,1) *
IF(OR(ISNUMBER(SEARCH("Melee",$L219)),ISNUMBER(SEARCH("Bypass",$L219))),1.5,1)</f>
        <v>0</v>
      </c>
      <c r="AC219" s="17" cm="1">
        <f t="array" ref="AC219">$H219 *
IF(ISNUMBER(SEARCH("Rapid",$L219)),7/6,1) *
IF(OR(ISNUMBER(SEARCH("Beam",$L219)),ISNUMBER(SEARCH("Firestorm",$L219))),1, IF(ISNUMBER(SEARCH("Blast",$L219)),(4+$F219+(2-$F219)*0.5)/6*2,(4+$F219)/6)) *
IF(ISNUMBER(SEARCH("Fusion",$L219)), _xlfn.IFS(AC$24-$I219 &lt;=1, 9/10, AC$24-$I219 &lt;=10,(11-(AC$24-$I219))/10, AC$24-$I219 &gt;=11, 0),
_xlfn.IFS(AC$24-$I219 &lt;=1, 5/6, AC$24-$I219 &lt;=5, (7-(AC$24-$I219))/6, AND(AC$24-$I219 =6,NOT(_xlfn.IFNA(ISNUMBER(SEARCH("Rending",$L219)),FALSE))), (7-(AC$24-$I219))/6, AND(AC$24-$I219 &gt;=7,NOT(_xlfn.IFNA(ISNUMBER(SEARCH("Rending",$L219)),FALSE))), 0, AC$24-$I219 =7, (7-(AC$24-1-$I219))/6, AC$24-$I219 =8, (7-(AC$24-2-$I219))/6*2/3, AC$24-$I219 =9, (7-(AC$24-3-$I219))/6*1/3, TRUE, 0)) *
IF(ISNUMBER(SEARCH("Ordinance",$L219)),7/6,1) *
IF(OR(ISNUMBER(SEARCH("Melee",$L219)),ISNUMBER(SEARCH("Bypass",$L219))),1.5,1)</f>
        <v>0</v>
      </c>
      <c r="AD219" s="17" cm="1">
        <f t="array" ref="AD219">$H219 *
IF(ISNUMBER(SEARCH("Rapid",$L219)),7/6,1) *
IF(OR(ISNUMBER(SEARCH("Beam",$L219)),ISNUMBER(SEARCH("Firestorm",$L219))),1, IF(ISNUMBER(SEARCH("Blast",$L219)),(4+$F219+(2-$F219)*0.5)/6*2,(4+$F219)/6)) *
IF(ISNUMBER(SEARCH("Fusion",$L219)), _xlfn.IFS(AD$24-$I219 &lt;=1, 9/10, AD$24-$I219 &lt;=10,(11-(AD$24-$I219))/10, AD$24-$I219 &gt;=11, 0),
_xlfn.IFS(AD$24-$I219 &lt;=1, 5/6, AD$24-$I219 &lt;=5, (7-(AD$24-$I219))/6, AND(AD$24-$I219 =6,NOT(_xlfn.IFNA(ISNUMBER(SEARCH("Rending",$L219)),FALSE))), (7-(AD$24-$I219))/6, AND(AD$24-$I219 &gt;=7,NOT(_xlfn.IFNA(ISNUMBER(SEARCH("Rending",$L219)),FALSE))), 0, AD$24-$I219 =7, (7-(AD$24-1-$I219))/6, AD$24-$I219 =8, (7-(AD$24-2-$I219))/6*2/3, AD$24-$I219 =9, (7-(AD$24-3-$I219))/6*1/3, TRUE, 0)) *
IF(ISNUMBER(SEARCH("Ordinance",$L219)),7/6,1) *
IF(OR(ISNUMBER(SEARCH("Melee",$L219)),ISNUMBER(SEARCH("Bypass",$L219))),1.5,1)</f>
        <v>0</v>
      </c>
      <c r="AE219" s="17" cm="1">
        <f t="array" ref="AE219">$H219 *
IF(ISNUMBER(SEARCH("Rapid",$L219)),7/6,1) *
IF(OR(ISNUMBER(SEARCH("Beam",$L219)),ISNUMBER(SEARCH("Firestorm",$L219))),1, IF(ISNUMBER(SEARCH("Blast",$L219)),(4+$F219+(2-$F219)*0.5)/6*2,(4+$F219)/6)) *
IF(ISNUMBER(SEARCH("Fusion",$L219)), _xlfn.IFS(AE$24-$I219 &lt;=1, 9/10, AE$24-$I219 &lt;=10,(11-(AE$24-$I219))/10, AE$24-$I219 &gt;=11, 0),
_xlfn.IFS(AE$24-$I219 &lt;=1, 5/6, AE$24-$I219 &lt;=5, (7-(AE$24-$I219))/6, AND(AE$24-$I219 =6,NOT(_xlfn.IFNA(ISNUMBER(SEARCH("Rending",$L219)),FALSE))), (7-(AE$24-$I219))/6, AND(AE$24-$I219 &gt;=7,NOT(_xlfn.IFNA(ISNUMBER(SEARCH("Rending",$L219)),FALSE))), 0, AE$24-$I219 =7, (7-(AE$24-1-$I219))/6, AE$24-$I219 =8, (7-(AE$24-2-$I219))/6*2/3, AE$24-$I219 =9, (7-(AE$24-3-$I219))/6*1/3, TRUE, 0)) *
IF(ISNUMBER(SEARCH("Ordinance",$L219)),7/6,1) *
IF(OR(ISNUMBER(SEARCH("Melee",$L219)),ISNUMBER(SEARCH("Bypass",$L219))),1.5,1)</f>
        <v>0</v>
      </c>
      <c r="AF219" s="17" cm="1">
        <f t="array" ref="AF219">$H219 *
IF(ISNUMBER(SEARCH("Rapid",$L219)),7/6,1) *
IF(OR(ISNUMBER(SEARCH("Beam",$L219)),ISNUMBER(SEARCH("Firestorm",$L219))),1, IF(ISNUMBER(SEARCH("Blast",$L219)),(4+$F219+(2-$F219)*0.5)/6*2,(4+$F219)/6)) *
IF(ISNUMBER(SEARCH("Fusion",$L219)), _xlfn.IFS(AF$24-$I219 &lt;=1, 9/10, AF$24-$I219 &lt;=10,(11-(AF$24-$I219))/10, AF$24-$I219 &gt;=11, 0),
_xlfn.IFS(AF$24-$I219 &lt;=1, 5/6, AF$24-$I219 &lt;=5, (7-(AF$24-$I219))/6, AND(AF$24-$I219 =6,NOT(_xlfn.IFNA(ISNUMBER(SEARCH("Rending",$L219)),FALSE))), (7-(AF$24-$I219))/6, AND(AF$24-$I219 &gt;=7,NOT(_xlfn.IFNA(ISNUMBER(SEARCH("Rending",$L219)),FALSE))), 0, AF$24-$I219 =7, (7-(AF$24-1-$I219))/6, AF$24-$I219 =8, (7-(AF$24-2-$I219))/6*2/3, AF$24-$I219 =9, (7-(AF$24-3-$I219))/6*1/3, TRUE, 0)) *
IF(ISNUMBER(SEARCH("Ordinance",$L219)),7/6,1) *
IF(OR(ISNUMBER(SEARCH("Melee",$L219)),ISNUMBER(SEARCH("Bypass",$L219))),1.5,1)</f>
        <v>0</v>
      </c>
      <c r="AG219" s="16">
        <f t="shared" si="67"/>
        <v>0.51851851851851849</v>
      </c>
      <c r="AH219" s="16">
        <f t="shared" si="68"/>
        <v>0.77777777777777779</v>
      </c>
      <c r="AI219" s="17" cm="1">
        <f t="array" ref="AI219">$H219 *
IF(ISNUMBER(SEARCH("Rapid",$L219)),7/6,1) *
IF(OR(ISNUMBER(SEARCH("Beam",$L219)),ISNUMBER(SEARCH("Firestorm",$L219))),1, IF(ISNUMBER(SEARCH("Blast",$L219)),(4+$G219+(2-$G219)*0.5)/6*2,(4+$G219)/6)) *
_xlfn.IFS(AI$24-$I219 &lt;=1, 5/6, AI$24-$I219 &lt;=5, (7-(AI$24-$I219))/6, AND(AI$24-$I219 =6,NOT(_xlfn.IFNA(ISNUMBER(SEARCH("Rending",$L219)),FALSE))), (7-(AI$24-$I219))/6, AND(AI$24-$I219 &gt;=7,NOT(_xlfn.IFNA(ISNUMBER(SEARCH("Rending",$L219)),FALSE))), 0, AI$24-$I219 =7, (7-(AI$24-1-$I219))/6, AI$24-$I219 =8, (7-(AI$24-2-$I219))/6*2/3, AI$24-$I219 =9, (7-(AI$24-3-$I219))/6*1/3, TRUE, 0) *
IF(ISNUMBER(SEARCH("Ordinance",$L219)),7/6,1) *
IF(OR(ISNUMBER(SEARCH("Melee",$L219)),ISNUMBER(SEARCH("Bypass",$L219))),1.5,1)</f>
        <v>1.037037037037037</v>
      </c>
      <c r="AJ219" s="17" cm="1">
        <f t="array" ref="AJ219">$H219 *
IF(ISNUMBER(SEARCH("Rapid",$L219)),7/6,1) *
IF(OR(ISNUMBER(SEARCH("Beam",$L219)),ISNUMBER(SEARCH("Firestorm",$L219))),1, IF(ISNUMBER(SEARCH("Blast",$L219)),(4+$G219+(2-$G219)*0.5)/6*2,(4+$G219)/6)) *
_xlfn.IFS(AJ$24-$I219 &lt;=1, 5/6, AJ$24-$I219 &lt;=5, (7-(AJ$24-$I219))/6, AND(AJ$24-$I219 =6,NOT(_xlfn.IFNA(ISNUMBER(SEARCH("Rending",$L219)),FALSE))), (7-(AJ$24-$I219))/6, AND(AJ$24-$I219 &gt;=7,NOT(_xlfn.IFNA(ISNUMBER(SEARCH("Rending",$L219)),FALSE))), 0, AJ$24-$I219 =7, (7-(AJ$24-1-$I219))/6, AJ$24-$I219 =8, (7-(AJ$24-2-$I219))/6*2/3, AJ$24-$I219 =9, (7-(AJ$24-3-$I219))/6*1/3, TRUE, 0) *
IF(ISNUMBER(SEARCH("Ordinance",$L219)),7/6,1) *
IF(OR(ISNUMBER(SEARCH("Melee",$L219)),ISNUMBER(SEARCH("Bypass",$L219))),1.5,1)</f>
        <v>0.77777777777777779</v>
      </c>
      <c r="AK219" s="17" cm="1">
        <f t="array" ref="AK219">$H219 *
IF(ISNUMBER(SEARCH("Rapid",$L219)),7/6,1) *
IF(OR(ISNUMBER(SEARCH("Beam",$L219)),ISNUMBER(SEARCH("Firestorm",$L219))),1, IF(ISNUMBER(SEARCH("Blast",$L219)),(4+$G219+(2-$G219)*0.5)/6*2,(4+$G219)/6)) *
_xlfn.IFS(AK$24-$I219 &lt;=1, 5/6, AK$24-$I219 &lt;=5, (7-(AK$24-$I219))/6, AND(AK$24-$I219 =6,NOT(_xlfn.IFNA(ISNUMBER(SEARCH("Rending",$L219)),FALSE))), (7-(AK$24-$I219))/6, AND(AK$24-$I219 &gt;=7,NOT(_xlfn.IFNA(ISNUMBER(SEARCH("Rending",$L219)),FALSE))), 0, AK$24-$I219 =7, (7-(AK$24-1-$I219))/6, AK$24-$I219 =8, (7-(AK$24-2-$I219))/6*2/3, AK$24-$I219 =9, (7-(AK$24-3-$I219))/6*1/3, TRUE, 0) *
IF(ISNUMBER(SEARCH("Ordinance",$L219)),7/6,1) *
IF(OR(ISNUMBER(SEARCH("Melee",$L219)),ISNUMBER(SEARCH("Bypass",$L219))),1.5,1)</f>
        <v>0.51851851851851849</v>
      </c>
      <c r="AL219" s="17" cm="1">
        <f t="array" ref="AL219">$H219 *
IF(ISNUMBER(SEARCH("Rapid",$L219)),7/6,1) *
IF(OR(ISNUMBER(SEARCH("Beam",$L219)),ISNUMBER(SEARCH("Firestorm",$L219))),1, IF(ISNUMBER(SEARCH("Blast",$L219)),(4+$G219+(2-$G219)*0.5)/6*2,(4+$G219)/6)) *
_xlfn.IFS(AL$24-$I219 &lt;=1, 5/6, AL$24-$I219 &lt;=5, (7-(AL$24-$I219))/6, AND(AL$24-$I219 =6,NOT(_xlfn.IFNA(ISNUMBER(SEARCH("Rending",$L219)),FALSE))), (7-(AL$24-$I219))/6, AND(AL$24-$I219 &gt;=7,NOT(_xlfn.IFNA(ISNUMBER(SEARCH("Rending",$L219)),FALSE))), 0, AL$24-$I219 =7, (7-(AL$24-1-$I219))/6, AL$24-$I219 =8, (7-(AL$24-2-$I219))/6*2/3, AL$24-$I219 =9, (7-(AL$24-3-$I219))/6*1/3, TRUE, 0) *
IF(ISNUMBER(SEARCH("Ordinance",$L219)),7/6,1) *
IF(OR(ISNUMBER(SEARCH("Melee",$L219)),ISNUMBER(SEARCH("Bypass",$L219))),1.5,1)</f>
        <v>0.25925925925925924</v>
      </c>
      <c r="AM219" s="17" cm="1">
        <f t="array" ref="AM219">$H219 *
IF(ISNUMBER(SEARCH("Rapid",$L219)),7/6,1) *
IF(OR(ISNUMBER(SEARCH("Beam",$L219)),ISNUMBER(SEARCH("Firestorm",$L219))),1, IF(ISNUMBER(SEARCH("Blast",$L219)),(4+$G219+(2-$G219)*0.5)/6*2,(4+$G219)/6)) *
_xlfn.IFS(AM$24-$I219 &lt;=1, 5/6, AM$24-$I219 &lt;=5, (7-(AM$24-$I219))/6, AND(AM$24-$I219 =6,NOT(_xlfn.IFNA(ISNUMBER(SEARCH("Rending",$L219)),FALSE))), (7-(AM$24-$I219))/6, AND(AM$24-$I219 &gt;=7,NOT(_xlfn.IFNA(ISNUMBER(SEARCH("Rending",$L219)),FALSE))), 0, AM$24-$I219 =7, (7-(AM$24-1-$I219))/6, AM$24-$I219 =8, (7-(AM$24-2-$I219))/6*2/3, AM$24-$I219 =9, (7-(AM$24-3-$I219))/6*1/3, TRUE, 0) *
IF(ISNUMBER(SEARCH("Ordinance",$L219)),7/6,1) *
IF(OR(ISNUMBER(SEARCH("Melee",$L219)),ISNUMBER(SEARCH("Bypass",$L219))),1.5,1)</f>
        <v>0</v>
      </c>
      <c r="AN219" s="17" cm="1">
        <f t="array" ref="AN219">$H219 *
IF(ISNUMBER(SEARCH("Rapid",$L219)),7/6,1) *
IF(OR(ISNUMBER(SEARCH("Beam",$L219)),ISNUMBER(SEARCH("Firestorm",$L219))),1, IF(ISNUMBER(SEARCH("Blast",$L219)),(4+$G219+(2-$G219)*0.5)/6*2,(4+$G219)/6)) *
_xlfn.IFS(AN$24-$I219 &lt;=1, 5/6, AN$24-$I219 &lt;=5, (7-(AN$24-$I219))/6, AND(AN$24-$I219 =6,NOT(_xlfn.IFNA(ISNUMBER(SEARCH("Rending",$L219)),FALSE))), (7-(AN$24-$I219))/6, AND(AN$24-$I219 &gt;=7,NOT(_xlfn.IFNA(ISNUMBER(SEARCH("Rending",$L219)),FALSE))), 0, AN$24-$I219 =7, (7-(AN$24-1-$I219))/6, AN$24-$I219 =8, (7-(AN$24-2-$I219))/6*2/3, AN$24-$I219 =9, (7-(AN$24-3-$I219))/6*1/3, TRUE, 0) *
IF(ISNUMBER(SEARCH("Ordinance",$L219)),7/6,1) *
IF(OR(ISNUMBER(SEARCH("Melee",$L219)),ISNUMBER(SEARCH("Bypass",$L219))),1.5,1)</f>
        <v>0</v>
      </c>
      <c r="AO219" s="17" cm="1">
        <f t="array" ref="AO219">$H219 *
IF(ISNUMBER(SEARCH("Rapid",$L219)),7/6,1) *
IF(OR(ISNUMBER(SEARCH("Beam",$L219)),ISNUMBER(SEARCH("Firestorm",$L219))),1, IF(ISNUMBER(SEARCH("Blast",$L219)),(4+$G219+(2-$G219)*0.5)/6*2,(4+$G219)/6)) *
_xlfn.IFS(AO$24-$I219 &lt;=1, 5/6, AO$24-$I219 &lt;=5, (7-(AO$24-$I219))/6, AND(AO$24-$I219 =6,NOT(_xlfn.IFNA(ISNUMBER(SEARCH("Rending",$L219)),FALSE))), (7-(AO$24-$I219))/6, AND(AO$24-$I219 &gt;=7,NOT(_xlfn.IFNA(ISNUMBER(SEARCH("Rending",$L219)),FALSE))), 0, AO$24-$I219 =7, (7-(AO$24-1-$I219))/6, AO$24-$I219 =8, (7-(AO$24-2-$I219))/6*2/3, AO$24-$I219 =9, (7-(AO$24-3-$I219))/6*1/3, TRUE, 0) *
IF(ISNUMBER(SEARCH("Ordinance",$L219)),7/6,1) *
IF(OR(ISNUMBER(SEARCH("Melee",$L219)),ISNUMBER(SEARCH("Bypass",$L219))),1.5,1)</f>
        <v>0</v>
      </c>
      <c r="AP219" s="17" cm="1">
        <f t="array" ref="AP219">$H219 *
IF(ISNUMBER(SEARCH("Rapid",$L219)),7/6,1) *
IF(OR(ISNUMBER(SEARCH("Beam",$L219)),ISNUMBER(SEARCH("Firestorm",$L219))),1, IF(ISNUMBER(SEARCH("Blast",$L219)),(4+$G219+(2-$G219)*0.5)/6*2,(4+$G219)/6)) *
_xlfn.IFS(AP$24-$I219 &lt;=1, 5/6, AP$24-$I219 &lt;=5, (7-(AP$24-$I219))/6, AND(AP$24-$I219 =6,NOT(_xlfn.IFNA(ISNUMBER(SEARCH("Rending",$L219)),FALSE))), (7-(AP$24-$I219))/6, AND(AP$24-$I219 &gt;=7,NOT(_xlfn.IFNA(ISNUMBER(SEARCH("Rending",$L219)),FALSE))), 0, AP$24-$I219 =7, (7-(AP$24-1-$I219))/6, AP$24-$I219 =8, (7-(AP$24-2-$I219))/6*2/3, AP$24-$I219 =9, (7-(AP$24-3-$I219))/6*1/3, TRUE, 0) *
IF(ISNUMBER(SEARCH("Ordinance",$L219)),7/6,1) *
IF(OR(ISNUMBER(SEARCH("Melee",$L219)),ISNUMBER(SEARCH("Bypass",$L219))),1.5,1)</f>
        <v>0</v>
      </c>
      <c r="AQ219" s="17" cm="1">
        <f t="array" ref="AQ219">$H219 *
IF(ISNUMBER(SEARCH("Rapid",$L219)),7/6,1) *
IF(OR(ISNUMBER(SEARCH("Beam",$L219)),ISNUMBER(SEARCH("Firestorm",$L219))),1, IF(ISNUMBER(SEARCH("Blast",$L219)),(4+$G219+(2-$G219)*0.5)/6*2,(4+$G219)/6)) *
_xlfn.IFS(AQ$24-$I219 &lt;=1, 5/6, AQ$24-$I219 &lt;=5, (7-(AQ$24-$I219))/6, AND(AQ$24-$I219 =6,NOT(_xlfn.IFNA(ISNUMBER(SEARCH("Rending",$L219)),FALSE))), (7-(AQ$24-$I219))/6, AND(AQ$24-$I219 &gt;=7,NOT(_xlfn.IFNA(ISNUMBER(SEARCH("Rending",$L219)),FALSE))), 0, AQ$24-$I219 =7, (7-(AQ$24-1-$I219))/6, AQ$24-$I219 =8, (7-(AQ$24-2-$I219))/6*2/3, AQ$24-$I219 =9, (7-(AQ$24-3-$I219))/6*1/3, TRUE, 0) *
IF(ISNUMBER(SEARCH("Ordinance",$L219)),7/6,1) *
IF(OR(ISNUMBER(SEARCH("Melee",$L219)),ISNUMBER(SEARCH("Bypass",$L219))),1.5,1)</f>
        <v>0</v>
      </c>
      <c r="AS219" s="16">
        <f t="shared" si="71"/>
        <v>0.51851851851851849</v>
      </c>
      <c r="AT219" s="16">
        <f t="shared" si="71"/>
        <v>0.77777777777777779</v>
      </c>
      <c r="AU219" s="16">
        <f>IF(D219+E219=3,
 IF(E219=3, 2.5*AI219,
  IF(E219=2, 1.8*AI219+0.7*X219,
   IF(E219=1, 0.95*AI219+1.55*X219,
    2.5*X219))),
 IF(D219+E219=2,
  IF(E219=2, 1.55*AI219,
   IF(E219 =1, 0.85*AI219+0.7*X219,
    1.55*X219)),
  IF(E219=1, 0.95*AI219,
   0.7*X219))
)/3</f>
        <v>0.59629629629629621</v>
      </c>
      <c r="AV219" s="2">
        <v>9</v>
      </c>
    </row>
    <row r="220" spans="1:48" x14ac:dyDescent="0.3">
      <c r="A220" t="str">
        <f>'40K9_Stats'!O25</f>
        <v>Ghost Glaive</v>
      </c>
      <c r="B220" s="3">
        <v>2</v>
      </c>
      <c r="D220" s="3">
        <v>1</v>
      </c>
      <c r="F220" s="10">
        <v>1</v>
      </c>
      <c r="G220" s="10"/>
      <c r="H220" s="3">
        <v>2</v>
      </c>
      <c r="I220" s="3">
        <v>7</v>
      </c>
      <c r="J220" s="3" t="s">
        <v>598</v>
      </c>
      <c r="K220" s="3">
        <v>10</v>
      </c>
      <c r="L220" s="3" t="s">
        <v>217</v>
      </c>
      <c r="V220" s="16">
        <f t="shared" si="65"/>
        <v>0</v>
      </c>
      <c r="W220" s="16">
        <f t="shared" si="66"/>
        <v>0</v>
      </c>
      <c r="X220" s="17" cm="1">
        <f t="array" ref="X220">$H220 *
IF(ISNUMBER(SEARCH("Rapid",$L220)),7/6,1) *
IF(OR(ISNUMBER(SEARCH("Beam",$L220)),ISNUMBER(SEARCH("Firestorm",$L220))),1, IF(ISNUMBER(SEARCH("Blast",$L220)),(4+$F220+(2-$F220)*0.5)/6*2,(4+$F220)/6)) *
IF(ISNUMBER(SEARCH("Fusion",$L220)), _xlfn.IFS(X$24-$I220 &lt;=1, 9/10, X$24-$I220 &lt;=10,(11-(X$24-$I220))/10, X$24-$I220 &gt;=11, 0),
_xlfn.IFS(X$24-$I220 &lt;=1, 5/6, X$24-$I220 &lt;=5, (7-(X$24-$I220))/6, AND(X$24-$I220 =6,NOT(_xlfn.IFNA(ISNUMBER(SEARCH("Rending",$L220)),FALSE))), (7-(X$24-$I220))/6, AND(X$24-$I220 &gt;=7,NOT(_xlfn.IFNA(ISNUMBER(SEARCH("Rending",$L220)),FALSE))), 0, X$24-$I220 =7, (7-(X$24-1-$I220))/6, X$24-$I220 =8, (7-(X$24-2-$I220))/6*2/3, X$24-$I220 =9, (7-(X$24-3-$I220))/6*1/3, TRUE, 0)) *
IF(ISNUMBER(SEARCH("Ordinance",$L220)),7/6,1) *
IF(OR(ISNUMBER(SEARCH("Melee",$L220)),ISNUMBER(SEARCH("Bypass",$L220))),1.5,1)</f>
        <v>2.0833333333333335</v>
      </c>
      <c r="Y220" s="17" cm="1">
        <f t="array" ref="Y220">$H220 *
IF(ISNUMBER(SEARCH("Rapid",$L220)),7/6,1) *
IF(OR(ISNUMBER(SEARCH("Beam",$L220)),ISNUMBER(SEARCH("Firestorm",$L220))),1, IF(ISNUMBER(SEARCH("Blast",$L220)),(4+$F220+(2-$F220)*0.5)/6*2,(4+$F220)/6)) *
IF(ISNUMBER(SEARCH("Fusion",$L220)), _xlfn.IFS(Y$24-$I220 &lt;=1, 9/10, Y$24-$I220 &lt;=10,(11-(Y$24-$I220))/10, Y$24-$I220 &gt;=11, 0),
_xlfn.IFS(Y$24-$I220 &lt;=1, 5/6, Y$24-$I220 &lt;=5, (7-(Y$24-$I220))/6, AND(Y$24-$I220 =6,NOT(_xlfn.IFNA(ISNUMBER(SEARCH("Rending",$L220)),FALSE))), (7-(Y$24-$I220))/6, AND(Y$24-$I220 &gt;=7,NOT(_xlfn.IFNA(ISNUMBER(SEARCH("Rending",$L220)),FALSE))), 0, Y$24-$I220 =7, (7-(Y$24-1-$I220))/6, Y$24-$I220 =8, (7-(Y$24-2-$I220))/6*2/3, Y$24-$I220 =9, (7-(Y$24-3-$I220))/6*1/3, TRUE, 0)) *
IF(ISNUMBER(SEARCH("Ordinance",$L220)),7/6,1) *
IF(OR(ISNUMBER(SEARCH("Melee",$L220)),ISNUMBER(SEARCH("Bypass",$L220))),1.5,1)</f>
        <v>1.6666666666666667</v>
      </c>
      <c r="Z220" s="17" cm="1">
        <f t="array" ref="Z220">$H220 *
IF(ISNUMBER(SEARCH("Rapid",$L220)),7/6,1) *
IF(OR(ISNUMBER(SEARCH("Beam",$L220)),ISNUMBER(SEARCH("Firestorm",$L220))),1, IF(ISNUMBER(SEARCH("Blast",$L220)),(4+$F220+(2-$F220)*0.5)/6*2,(4+$F220)/6)) *
IF(ISNUMBER(SEARCH("Fusion",$L220)), _xlfn.IFS(Z$24-$I220 &lt;=1, 9/10, Z$24-$I220 &lt;=10,(11-(Z$24-$I220))/10, Z$24-$I220 &gt;=11, 0),
_xlfn.IFS(Z$24-$I220 &lt;=1, 5/6, Z$24-$I220 &lt;=5, (7-(Z$24-$I220))/6, AND(Z$24-$I220 =6,NOT(_xlfn.IFNA(ISNUMBER(SEARCH("Rending",$L220)),FALSE))), (7-(Z$24-$I220))/6, AND(Z$24-$I220 &gt;=7,NOT(_xlfn.IFNA(ISNUMBER(SEARCH("Rending",$L220)),FALSE))), 0, Z$24-$I220 =7, (7-(Z$24-1-$I220))/6, Z$24-$I220 =8, (7-(Z$24-2-$I220))/6*2/3, Z$24-$I220 =9, (7-(Z$24-3-$I220))/6*1/3, TRUE, 0)) *
IF(ISNUMBER(SEARCH("Ordinance",$L220)),7/6,1) *
IF(OR(ISNUMBER(SEARCH("Melee",$L220)),ISNUMBER(SEARCH("Bypass",$L220))),1.5,1)</f>
        <v>1.25</v>
      </c>
      <c r="AA220" s="17" cm="1">
        <f t="array" ref="AA220">$H220 *
IF(ISNUMBER(SEARCH("Rapid",$L220)),7/6,1) *
IF(OR(ISNUMBER(SEARCH("Beam",$L220)),ISNUMBER(SEARCH("Firestorm",$L220))),1, IF(ISNUMBER(SEARCH("Blast",$L220)),(4+$F220+(2-$F220)*0.5)/6*2,(4+$F220)/6)) *
IF(ISNUMBER(SEARCH("Fusion",$L220)), _xlfn.IFS(AA$24-$I220 &lt;=1, 9/10, AA$24-$I220 &lt;=10,(11-(AA$24-$I220))/10, AA$24-$I220 &gt;=11, 0),
_xlfn.IFS(AA$24-$I220 &lt;=1, 5/6, AA$24-$I220 &lt;=5, (7-(AA$24-$I220))/6, AND(AA$24-$I220 =6,NOT(_xlfn.IFNA(ISNUMBER(SEARCH("Rending",$L220)),FALSE))), (7-(AA$24-$I220))/6, AND(AA$24-$I220 &gt;=7,NOT(_xlfn.IFNA(ISNUMBER(SEARCH("Rending",$L220)),FALSE))), 0, AA$24-$I220 =7, (7-(AA$24-1-$I220))/6, AA$24-$I220 =8, (7-(AA$24-2-$I220))/6*2/3, AA$24-$I220 =9, (7-(AA$24-3-$I220))/6*1/3, TRUE, 0)) *
IF(ISNUMBER(SEARCH("Ordinance",$L220)),7/6,1) *
IF(OR(ISNUMBER(SEARCH("Melee",$L220)),ISNUMBER(SEARCH("Bypass",$L220))),1.5,1)</f>
        <v>0.83333333333333337</v>
      </c>
      <c r="AB220" s="17" cm="1">
        <f t="array" ref="AB220">$H220 *
IF(ISNUMBER(SEARCH("Rapid",$L220)),7/6,1) *
IF(OR(ISNUMBER(SEARCH("Beam",$L220)),ISNUMBER(SEARCH("Firestorm",$L220))),1, IF(ISNUMBER(SEARCH("Blast",$L220)),(4+$F220+(2-$F220)*0.5)/6*2,(4+$F220)/6)) *
IF(ISNUMBER(SEARCH("Fusion",$L220)), _xlfn.IFS(AB$24-$I220 &lt;=1, 9/10, AB$24-$I220 &lt;=10,(11-(AB$24-$I220))/10, AB$24-$I220 &gt;=11, 0),
_xlfn.IFS(AB$24-$I220 &lt;=1, 5/6, AB$24-$I220 &lt;=5, (7-(AB$24-$I220))/6, AND(AB$24-$I220 =6,NOT(_xlfn.IFNA(ISNUMBER(SEARCH("Rending",$L220)),FALSE))), (7-(AB$24-$I220))/6, AND(AB$24-$I220 &gt;=7,NOT(_xlfn.IFNA(ISNUMBER(SEARCH("Rending",$L220)),FALSE))), 0, AB$24-$I220 =7, (7-(AB$24-1-$I220))/6, AB$24-$I220 =8, (7-(AB$24-2-$I220))/6*2/3, AB$24-$I220 =9, (7-(AB$24-3-$I220))/6*1/3, TRUE, 0)) *
IF(ISNUMBER(SEARCH("Ordinance",$L220)),7/6,1) *
IF(OR(ISNUMBER(SEARCH("Melee",$L220)),ISNUMBER(SEARCH("Bypass",$L220))),1.5,1)</f>
        <v>0</v>
      </c>
      <c r="AC220" s="17" cm="1">
        <f t="array" ref="AC220">$H220 *
IF(ISNUMBER(SEARCH("Rapid",$L220)),7/6,1) *
IF(OR(ISNUMBER(SEARCH("Beam",$L220)),ISNUMBER(SEARCH("Firestorm",$L220))),1, IF(ISNUMBER(SEARCH("Blast",$L220)),(4+$F220+(2-$F220)*0.5)/6*2,(4+$F220)/6)) *
IF(ISNUMBER(SEARCH("Fusion",$L220)), _xlfn.IFS(AC$24-$I220 &lt;=1, 9/10, AC$24-$I220 &lt;=10,(11-(AC$24-$I220))/10, AC$24-$I220 &gt;=11, 0),
_xlfn.IFS(AC$24-$I220 &lt;=1, 5/6, AC$24-$I220 &lt;=5, (7-(AC$24-$I220))/6, AND(AC$24-$I220 =6,NOT(_xlfn.IFNA(ISNUMBER(SEARCH("Rending",$L220)),FALSE))), (7-(AC$24-$I220))/6, AND(AC$24-$I220 &gt;=7,NOT(_xlfn.IFNA(ISNUMBER(SEARCH("Rending",$L220)),FALSE))), 0, AC$24-$I220 =7, (7-(AC$24-1-$I220))/6, AC$24-$I220 =8, (7-(AC$24-2-$I220))/6*2/3, AC$24-$I220 =9, (7-(AC$24-3-$I220))/6*1/3, TRUE, 0)) *
IF(ISNUMBER(SEARCH("Ordinance",$L220)),7/6,1) *
IF(OR(ISNUMBER(SEARCH("Melee",$L220)),ISNUMBER(SEARCH("Bypass",$L220))),1.5,1)</f>
        <v>0.41666666666666669</v>
      </c>
      <c r="AD220" s="17" cm="1">
        <f t="array" ref="AD220">$H220 *
IF(ISNUMBER(SEARCH("Rapid",$L220)),7/6,1) *
IF(OR(ISNUMBER(SEARCH("Beam",$L220)),ISNUMBER(SEARCH("Firestorm",$L220))),1, IF(ISNUMBER(SEARCH("Blast",$L220)),(4+$F220+(2-$F220)*0.5)/6*2,(4+$F220)/6)) *
IF(ISNUMBER(SEARCH("Fusion",$L220)), _xlfn.IFS(AD$24-$I220 &lt;=1, 9/10, AD$24-$I220 &lt;=10,(11-(AD$24-$I220))/10, AD$24-$I220 &gt;=11, 0),
_xlfn.IFS(AD$24-$I220 &lt;=1, 5/6, AD$24-$I220 &lt;=5, (7-(AD$24-$I220))/6, AND(AD$24-$I220 =6,NOT(_xlfn.IFNA(ISNUMBER(SEARCH("Rending",$L220)),FALSE))), (7-(AD$24-$I220))/6, AND(AD$24-$I220 &gt;=7,NOT(_xlfn.IFNA(ISNUMBER(SEARCH("Rending",$L220)),FALSE))), 0, AD$24-$I220 =7, (7-(AD$24-1-$I220))/6, AD$24-$I220 =8, (7-(AD$24-2-$I220))/6*2/3, AD$24-$I220 =9, (7-(AD$24-3-$I220))/6*1/3, TRUE, 0)) *
IF(ISNUMBER(SEARCH("Ordinance",$L220)),7/6,1) *
IF(OR(ISNUMBER(SEARCH("Melee",$L220)),ISNUMBER(SEARCH("Bypass",$L220))),1.5,1)</f>
        <v>0.27777777777777779</v>
      </c>
      <c r="AE220" s="17" cm="1">
        <f t="array" ref="AE220">$H220 *
IF(ISNUMBER(SEARCH("Rapid",$L220)),7/6,1) *
IF(OR(ISNUMBER(SEARCH("Beam",$L220)),ISNUMBER(SEARCH("Firestorm",$L220))),1, IF(ISNUMBER(SEARCH("Blast",$L220)),(4+$F220+(2-$F220)*0.5)/6*2,(4+$F220)/6)) *
IF(ISNUMBER(SEARCH("Fusion",$L220)), _xlfn.IFS(AE$24-$I220 &lt;=1, 9/10, AE$24-$I220 &lt;=10,(11-(AE$24-$I220))/10, AE$24-$I220 &gt;=11, 0),
_xlfn.IFS(AE$24-$I220 &lt;=1, 5/6, AE$24-$I220 &lt;=5, (7-(AE$24-$I220))/6, AND(AE$24-$I220 =6,NOT(_xlfn.IFNA(ISNUMBER(SEARCH("Rending",$L220)),FALSE))), (7-(AE$24-$I220))/6, AND(AE$24-$I220 &gt;=7,NOT(_xlfn.IFNA(ISNUMBER(SEARCH("Rending",$L220)),FALSE))), 0, AE$24-$I220 =7, (7-(AE$24-1-$I220))/6, AE$24-$I220 =8, (7-(AE$24-2-$I220))/6*2/3, AE$24-$I220 =9, (7-(AE$24-3-$I220))/6*1/3, TRUE, 0)) *
IF(ISNUMBER(SEARCH("Ordinance",$L220)),7/6,1) *
IF(OR(ISNUMBER(SEARCH("Melee",$L220)),ISNUMBER(SEARCH("Bypass",$L220))),1.5,1)</f>
        <v>0.1388888888888889</v>
      </c>
      <c r="AF220" s="17" cm="1">
        <f t="array" ref="AF220">$H220 *
IF(ISNUMBER(SEARCH("Rapid",$L220)),7/6,1) *
IF(OR(ISNUMBER(SEARCH("Beam",$L220)),ISNUMBER(SEARCH("Firestorm",$L220))),1, IF(ISNUMBER(SEARCH("Blast",$L220)),(4+$F220+(2-$F220)*0.5)/6*2,(4+$F220)/6)) *
IF(ISNUMBER(SEARCH("Fusion",$L220)), _xlfn.IFS(AF$24-$I220 &lt;=1, 9/10, AF$24-$I220 &lt;=10,(11-(AF$24-$I220))/10, AF$24-$I220 &gt;=11, 0),
_xlfn.IFS(AF$24-$I220 &lt;=1, 5/6, AF$24-$I220 &lt;=5, (7-(AF$24-$I220))/6, AND(AF$24-$I220 =6,NOT(_xlfn.IFNA(ISNUMBER(SEARCH("Rending",$L220)),FALSE))), (7-(AF$24-$I220))/6, AND(AF$24-$I220 &gt;=7,NOT(_xlfn.IFNA(ISNUMBER(SEARCH("Rending",$L220)),FALSE))), 0, AF$24-$I220 =7, (7-(AF$24-1-$I220))/6, AF$24-$I220 =8, (7-(AF$24-2-$I220))/6*2/3, AF$24-$I220 =9, (7-(AF$24-3-$I220))/6*1/3, TRUE, 0)) *
IF(ISNUMBER(SEARCH("Ordinance",$L220)),7/6,1) *
IF(OR(ISNUMBER(SEARCH("Melee",$L220)),ISNUMBER(SEARCH("Bypass",$L220))),1.5,1)</f>
        <v>0</v>
      </c>
      <c r="AG220" s="16">
        <f t="shared" si="67"/>
        <v>0</v>
      </c>
      <c r="AH220" s="16">
        <f t="shared" si="68"/>
        <v>0</v>
      </c>
      <c r="AI220" s="17" cm="1">
        <f t="array" ref="AI220">$H220 *
IF(ISNUMBER(SEARCH("Rapid",$L220)),7/6,1) *
IF(OR(ISNUMBER(SEARCH("Beam",$L220)),ISNUMBER(SEARCH("Firestorm",$L220))),1, IF(ISNUMBER(SEARCH("Blast",$L220)),(4+$G220+(2-$G220)*0.5)/6*2,(4+$G220)/6)) *
_xlfn.IFS(AI$24-$I220 &lt;=1, 5/6, AI$24-$I220 &lt;=5, (7-(AI$24-$I220))/6, AND(AI$24-$I220 =6,NOT(_xlfn.IFNA(ISNUMBER(SEARCH("Rending",$L220)),FALSE))), (7-(AI$24-$I220))/6, AND(AI$24-$I220 &gt;=7,NOT(_xlfn.IFNA(ISNUMBER(SEARCH("Rending",$L220)),FALSE))), 0, AI$24-$I220 =7, (7-(AI$24-1-$I220))/6, AI$24-$I220 =8, (7-(AI$24-2-$I220))/6*2/3, AI$24-$I220 =9, (7-(AI$24-3-$I220))/6*1/3, TRUE, 0) *
IF(ISNUMBER(SEARCH("Ordinance",$L220)),7/6,1) *
IF(OR(ISNUMBER(SEARCH("Melee",$L220)),ISNUMBER(SEARCH("Bypass",$L220))),1.5,1)</f>
        <v>1.6666666666666667</v>
      </c>
      <c r="AJ220" s="17" cm="1">
        <f t="array" ref="AJ220">$H220 *
IF(ISNUMBER(SEARCH("Rapid",$L220)),7/6,1) *
IF(OR(ISNUMBER(SEARCH("Beam",$L220)),ISNUMBER(SEARCH("Firestorm",$L220))),1, IF(ISNUMBER(SEARCH("Blast",$L220)),(4+$G220+(2-$G220)*0.5)/6*2,(4+$G220)/6)) *
_xlfn.IFS(AJ$24-$I220 &lt;=1, 5/6, AJ$24-$I220 &lt;=5, (7-(AJ$24-$I220))/6, AND(AJ$24-$I220 =6,NOT(_xlfn.IFNA(ISNUMBER(SEARCH("Rending",$L220)),FALSE))), (7-(AJ$24-$I220))/6, AND(AJ$24-$I220 &gt;=7,NOT(_xlfn.IFNA(ISNUMBER(SEARCH("Rending",$L220)),FALSE))), 0, AJ$24-$I220 =7, (7-(AJ$24-1-$I220))/6, AJ$24-$I220 =8, (7-(AJ$24-2-$I220))/6*2/3, AJ$24-$I220 =9, (7-(AJ$24-3-$I220))/6*1/3, TRUE, 0) *
IF(ISNUMBER(SEARCH("Ordinance",$L220)),7/6,1) *
IF(OR(ISNUMBER(SEARCH("Melee",$L220)),ISNUMBER(SEARCH("Bypass",$L220))),1.5,1)</f>
        <v>1.3333333333333333</v>
      </c>
      <c r="AK220" s="17" cm="1">
        <f t="array" ref="AK220">$H220 *
IF(ISNUMBER(SEARCH("Rapid",$L220)),7/6,1) *
IF(OR(ISNUMBER(SEARCH("Beam",$L220)),ISNUMBER(SEARCH("Firestorm",$L220))),1, IF(ISNUMBER(SEARCH("Blast",$L220)),(4+$G220+(2-$G220)*0.5)/6*2,(4+$G220)/6)) *
_xlfn.IFS(AK$24-$I220 &lt;=1, 5/6, AK$24-$I220 &lt;=5, (7-(AK$24-$I220))/6, AND(AK$24-$I220 =6,NOT(_xlfn.IFNA(ISNUMBER(SEARCH("Rending",$L220)),FALSE))), (7-(AK$24-$I220))/6, AND(AK$24-$I220 &gt;=7,NOT(_xlfn.IFNA(ISNUMBER(SEARCH("Rending",$L220)),FALSE))), 0, AK$24-$I220 =7, (7-(AK$24-1-$I220))/6, AK$24-$I220 =8, (7-(AK$24-2-$I220))/6*2/3, AK$24-$I220 =9, (7-(AK$24-3-$I220))/6*1/3, TRUE, 0) *
IF(ISNUMBER(SEARCH("Ordinance",$L220)),7/6,1) *
IF(OR(ISNUMBER(SEARCH("Melee",$L220)),ISNUMBER(SEARCH("Bypass",$L220))),1.5,1)</f>
        <v>1</v>
      </c>
      <c r="AL220" s="17" cm="1">
        <f t="array" ref="AL220">$H220 *
IF(ISNUMBER(SEARCH("Rapid",$L220)),7/6,1) *
IF(OR(ISNUMBER(SEARCH("Beam",$L220)),ISNUMBER(SEARCH("Firestorm",$L220))),1, IF(ISNUMBER(SEARCH("Blast",$L220)),(4+$G220+(2-$G220)*0.5)/6*2,(4+$G220)/6)) *
_xlfn.IFS(AL$24-$I220 &lt;=1, 5/6, AL$24-$I220 &lt;=5, (7-(AL$24-$I220))/6, AND(AL$24-$I220 =6,NOT(_xlfn.IFNA(ISNUMBER(SEARCH("Rending",$L220)),FALSE))), (7-(AL$24-$I220))/6, AND(AL$24-$I220 &gt;=7,NOT(_xlfn.IFNA(ISNUMBER(SEARCH("Rending",$L220)),FALSE))), 0, AL$24-$I220 =7, (7-(AL$24-1-$I220))/6, AL$24-$I220 =8, (7-(AL$24-2-$I220))/6*2/3, AL$24-$I220 =9, (7-(AL$24-3-$I220))/6*1/3, TRUE, 0) *
IF(ISNUMBER(SEARCH("Ordinance",$L220)),7/6,1) *
IF(OR(ISNUMBER(SEARCH("Melee",$L220)),ISNUMBER(SEARCH("Bypass",$L220))),1.5,1)</f>
        <v>0.66666666666666663</v>
      </c>
      <c r="AM220" s="17" cm="1">
        <f t="array" ref="AM220">$H220 *
IF(ISNUMBER(SEARCH("Rapid",$L220)),7/6,1) *
IF(OR(ISNUMBER(SEARCH("Beam",$L220)),ISNUMBER(SEARCH("Firestorm",$L220))),1, IF(ISNUMBER(SEARCH("Blast",$L220)),(4+$G220+(2-$G220)*0.5)/6*2,(4+$G220)/6)) *
_xlfn.IFS(AM$24-$I220 &lt;=1, 5/6, AM$24-$I220 &lt;=5, (7-(AM$24-$I220))/6, AND(AM$24-$I220 =6,NOT(_xlfn.IFNA(ISNUMBER(SEARCH("Rending",$L220)),FALSE))), (7-(AM$24-$I220))/6, AND(AM$24-$I220 &gt;=7,NOT(_xlfn.IFNA(ISNUMBER(SEARCH("Rending",$L220)),FALSE))), 0, AM$24-$I220 =7, (7-(AM$24-1-$I220))/6, AM$24-$I220 =8, (7-(AM$24-2-$I220))/6*2/3, AM$24-$I220 =9, (7-(AM$24-3-$I220))/6*1/3, TRUE, 0) *
IF(ISNUMBER(SEARCH("Ordinance",$L220)),7/6,1) *
IF(OR(ISNUMBER(SEARCH("Melee",$L220)),ISNUMBER(SEARCH("Bypass",$L220))),1.5,1)</f>
        <v>0</v>
      </c>
      <c r="AN220" s="17" cm="1">
        <f t="array" ref="AN220">$H220 *
IF(ISNUMBER(SEARCH("Rapid",$L220)),7/6,1) *
IF(OR(ISNUMBER(SEARCH("Beam",$L220)),ISNUMBER(SEARCH("Firestorm",$L220))),1, IF(ISNUMBER(SEARCH("Blast",$L220)),(4+$G220+(2-$G220)*0.5)/6*2,(4+$G220)/6)) *
_xlfn.IFS(AN$24-$I220 &lt;=1, 5/6, AN$24-$I220 &lt;=5, (7-(AN$24-$I220))/6, AND(AN$24-$I220 =6,NOT(_xlfn.IFNA(ISNUMBER(SEARCH("Rending",$L220)),FALSE))), (7-(AN$24-$I220))/6, AND(AN$24-$I220 &gt;=7,NOT(_xlfn.IFNA(ISNUMBER(SEARCH("Rending",$L220)),FALSE))), 0, AN$24-$I220 =7, (7-(AN$24-1-$I220))/6, AN$24-$I220 =8, (7-(AN$24-2-$I220))/6*2/3, AN$24-$I220 =9, (7-(AN$24-3-$I220))/6*1/3, TRUE, 0) *
IF(ISNUMBER(SEARCH("Ordinance",$L220)),7/6,1) *
IF(OR(ISNUMBER(SEARCH("Melee",$L220)),ISNUMBER(SEARCH("Bypass",$L220))),1.5,1)</f>
        <v>0.33333333333333331</v>
      </c>
      <c r="AO220" s="17" cm="1">
        <f t="array" ref="AO220">$H220 *
IF(ISNUMBER(SEARCH("Rapid",$L220)),7/6,1) *
IF(OR(ISNUMBER(SEARCH("Beam",$L220)),ISNUMBER(SEARCH("Firestorm",$L220))),1, IF(ISNUMBER(SEARCH("Blast",$L220)),(4+$G220+(2-$G220)*0.5)/6*2,(4+$G220)/6)) *
_xlfn.IFS(AO$24-$I220 &lt;=1, 5/6, AO$24-$I220 &lt;=5, (7-(AO$24-$I220))/6, AND(AO$24-$I220 =6,NOT(_xlfn.IFNA(ISNUMBER(SEARCH("Rending",$L220)),FALSE))), (7-(AO$24-$I220))/6, AND(AO$24-$I220 &gt;=7,NOT(_xlfn.IFNA(ISNUMBER(SEARCH("Rending",$L220)),FALSE))), 0, AO$24-$I220 =7, (7-(AO$24-1-$I220))/6, AO$24-$I220 =8, (7-(AO$24-2-$I220))/6*2/3, AO$24-$I220 =9, (7-(AO$24-3-$I220))/6*1/3, TRUE, 0) *
IF(ISNUMBER(SEARCH("Ordinance",$L220)),7/6,1) *
IF(OR(ISNUMBER(SEARCH("Melee",$L220)),ISNUMBER(SEARCH("Bypass",$L220))),1.5,1)</f>
        <v>0.22222222222222221</v>
      </c>
      <c r="AP220" s="17" cm="1">
        <f t="array" ref="AP220">$H220 *
IF(ISNUMBER(SEARCH("Rapid",$L220)),7/6,1) *
IF(OR(ISNUMBER(SEARCH("Beam",$L220)),ISNUMBER(SEARCH("Firestorm",$L220))),1, IF(ISNUMBER(SEARCH("Blast",$L220)),(4+$G220+(2-$G220)*0.5)/6*2,(4+$G220)/6)) *
_xlfn.IFS(AP$24-$I220 &lt;=1, 5/6, AP$24-$I220 &lt;=5, (7-(AP$24-$I220))/6, AND(AP$24-$I220 =6,NOT(_xlfn.IFNA(ISNUMBER(SEARCH("Rending",$L220)),FALSE))), (7-(AP$24-$I220))/6, AND(AP$24-$I220 &gt;=7,NOT(_xlfn.IFNA(ISNUMBER(SEARCH("Rending",$L220)),FALSE))), 0, AP$24-$I220 =7, (7-(AP$24-1-$I220))/6, AP$24-$I220 =8, (7-(AP$24-2-$I220))/6*2/3, AP$24-$I220 =9, (7-(AP$24-3-$I220))/6*1/3, TRUE, 0) *
IF(ISNUMBER(SEARCH("Ordinance",$L220)),7/6,1) *
IF(OR(ISNUMBER(SEARCH("Melee",$L220)),ISNUMBER(SEARCH("Bypass",$L220))),1.5,1)</f>
        <v>0.1111111111111111</v>
      </c>
      <c r="AQ220" s="17" cm="1">
        <f t="array" ref="AQ220">$H220 *
IF(ISNUMBER(SEARCH("Rapid",$L220)),7/6,1) *
IF(OR(ISNUMBER(SEARCH("Beam",$L220)),ISNUMBER(SEARCH("Firestorm",$L220))),1, IF(ISNUMBER(SEARCH("Blast",$L220)),(4+$G220+(2-$G220)*0.5)/6*2,(4+$G220)/6)) *
_xlfn.IFS(AQ$24-$I220 &lt;=1, 5/6, AQ$24-$I220 &lt;=5, (7-(AQ$24-$I220))/6, AND(AQ$24-$I220 =6,NOT(_xlfn.IFNA(ISNUMBER(SEARCH("Rending",$L220)),FALSE))), (7-(AQ$24-$I220))/6, AND(AQ$24-$I220 &gt;=7,NOT(_xlfn.IFNA(ISNUMBER(SEARCH("Rending",$L220)),FALSE))), 0, AQ$24-$I220 =7, (7-(AQ$24-1-$I220))/6, AQ$24-$I220 =8, (7-(AQ$24-2-$I220))/6*2/3, AQ$24-$I220 =9, (7-(AQ$24-3-$I220))/6*1/3, TRUE, 0) *
IF(ISNUMBER(SEARCH("Ordinance",$L220)),7/6,1) *
IF(OR(ISNUMBER(SEARCH("Melee",$L220)),ISNUMBER(SEARCH("Bypass",$L220))),1.5,1)</f>
        <v>0</v>
      </c>
      <c r="AS220" s="16">
        <f t="shared" si="71"/>
        <v>0</v>
      </c>
      <c r="AT220" s="16">
        <f t="shared" si="71"/>
        <v>0</v>
      </c>
      <c r="AU220" s="16">
        <f>IF(D220+E220=3,
 IF(E220=3, 2.5*AI220,
  IF(E220=2, 1.8*AI220+0.7*X220,
   IF(E220=1, 0.95*AI220+1.55*X220,
    2.5*X220))),
 IF(D220+E220=2,
  IF(E220=2, 1.55*AI220,
   IF(E220 =1, 0.85*AI220+0.7*X220,
    1.55*X220)),
  IF(E220=1, 0.95*AI220,
   0.7*X220))
)/3</f>
        <v>0.4861111111111111</v>
      </c>
      <c r="AV220" s="2">
        <v>9</v>
      </c>
    </row>
    <row r="221" spans="1:48" x14ac:dyDescent="0.3">
      <c r="A221" t="s">
        <v>430</v>
      </c>
      <c r="B221" s="33" t="s">
        <v>154</v>
      </c>
      <c r="C221" s="33"/>
      <c r="D221" s="3">
        <v>1</v>
      </c>
      <c r="F221" s="10"/>
      <c r="G221" s="10"/>
      <c r="H221" s="3">
        <v>2</v>
      </c>
      <c r="I221" s="3">
        <v>5</v>
      </c>
      <c r="J221" s="3" t="s">
        <v>601</v>
      </c>
      <c r="K221" s="3">
        <v>20</v>
      </c>
      <c r="L221" s="3" t="s">
        <v>486</v>
      </c>
      <c r="V221" s="16">
        <f t="shared" si="65"/>
        <v>0.44444444444444442</v>
      </c>
      <c r="W221" s="16">
        <f t="shared" si="66"/>
        <v>0.66666666666666663</v>
      </c>
      <c r="X221" s="17" cm="1">
        <f t="array" ref="X221">$H221 *
IF(ISNUMBER(SEARCH("Rapid",$L221)),7/6,1) *
IF(OR(ISNUMBER(SEARCH("Beam",$L221)),ISNUMBER(SEARCH("Firestorm",$L221))),1, IF(ISNUMBER(SEARCH("Blast",$L221)),(4+$F221+(2-$F221)*0.5)/6*2,(4+$F221)/6)) *
IF(ISNUMBER(SEARCH("Fusion",$L221)), _xlfn.IFS(X$24-$I221 &lt;=1, 9/10, X$24-$I221 &lt;=10,(11-(X$24-$I221))/10, X$24-$I221 &gt;=11, 0),
_xlfn.IFS(X$24-$I221 &lt;=1, 5/6, X$24-$I221 &lt;=5, (7-(X$24-$I221))/6, AND(X$24-$I221 =6,NOT(_xlfn.IFNA(ISNUMBER(SEARCH("Rending",$L221)),FALSE))), (7-(X$24-$I221))/6, AND(X$24-$I221 &gt;=7,NOT(_xlfn.IFNA(ISNUMBER(SEARCH("Rending",$L221)),FALSE))), 0, X$24-$I221 =7, (7-(X$24-1-$I221))/6, X$24-$I221 =8, (7-(X$24-2-$I221))/6*2/3, X$24-$I221 =9, (7-(X$24-3-$I221))/6*1/3, TRUE, 0)) *
IF(ISNUMBER(SEARCH("Ordinance",$L221)),7/6,1) *
IF(OR(ISNUMBER(SEARCH("Melee",$L221)),ISNUMBER(SEARCH("Bypass",$L221))),1.5,1)</f>
        <v>0.66666666666666663</v>
      </c>
      <c r="Y221" s="17" cm="1">
        <f t="array" ref="Y221">$H221 *
IF(ISNUMBER(SEARCH("Rapid",$L221)),7/6,1) *
IF(OR(ISNUMBER(SEARCH("Beam",$L221)),ISNUMBER(SEARCH("Firestorm",$L221))),1, IF(ISNUMBER(SEARCH("Blast",$L221)),(4+$F221+(2-$F221)*0.5)/6*2,(4+$F221)/6)) *
IF(ISNUMBER(SEARCH("Fusion",$L221)), _xlfn.IFS(Y$24-$I221 &lt;=1, 9/10, Y$24-$I221 &lt;=10,(11-(Y$24-$I221))/10, Y$24-$I221 &gt;=11, 0),
_xlfn.IFS(Y$24-$I221 &lt;=1, 5/6, Y$24-$I221 &lt;=5, (7-(Y$24-$I221))/6, AND(Y$24-$I221 =6,NOT(_xlfn.IFNA(ISNUMBER(SEARCH("Rending",$L221)),FALSE))), (7-(Y$24-$I221))/6, AND(Y$24-$I221 &gt;=7,NOT(_xlfn.IFNA(ISNUMBER(SEARCH("Rending",$L221)),FALSE))), 0, Y$24-$I221 =7, (7-(Y$24-1-$I221))/6, Y$24-$I221 =8, (7-(Y$24-2-$I221))/6*2/3, Y$24-$I221 =9, (7-(Y$24-3-$I221))/6*1/3, TRUE, 0)) *
IF(ISNUMBER(SEARCH("Ordinance",$L221)),7/6,1) *
IF(OR(ISNUMBER(SEARCH("Melee",$L221)),ISNUMBER(SEARCH("Bypass",$L221))),1.5,1)</f>
        <v>0.44444444444444442</v>
      </c>
      <c r="Z221" s="17" cm="1">
        <f t="array" ref="Z221">$H221 *
IF(ISNUMBER(SEARCH("Rapid",$L221)),7/6,1) *
IF(OR(ISNUMBER(SEARCH("Beam",$L221)),ISNUMBER(SEARCH("Firestorm",$L221))),1, IF(ISNUMBER(SEARCH("Blast",$L221)),(4+$F221+(2-$F221)*0.5)/6*2,(4+$F221)/6)) *
IF(ISNUMBER(SEARCH("Fusion",$L221)), _xlfn.IFS(Z$24-$I221 &lt;=1, 9/10, Z$24-$I221 &lt;=10,(11-(Z$24-$I221))/10, Z$24-$I221 &gt;=11, 0),
_xlfn.IFS(Z$24-$I221 &lt;=1, 5/6, Z$24-$I221 &lt;=5, (7-(Z$24-$I221))/6, AND(Z$24-$I221 =6,NOT(_xlfn.IFNA(ISNUMBER(SEARCH("Rending",$L221)),FALSE))), (7-(Z$24-$I221))/6, AND(Z$24-$I221 &gt;=7,NOT(_xlfn.IFNA(ISNUMBER(SEARCH("Rending",$L221)),FALSE))), 0, Z$24-$I221 =7, (7-(Z$24-1-$I221))/6, Z$24-$I221 =8, (7-(Z$24-2-$I221))/6*2/3, Z$24-$I221 =9, (7-(Z$24-3-$I221))/6*1/3, TRUE, 0)) *
IF(ISNUMBER(SEARCH("Ordinance",$L221)),7/6,1) *
IF(OR(ISNUMBER(SEARCH("Melee",$L221)),ISNUMBER(SEARCH("Bypass",$L221))),1.5,1)</f>
        <v>0</v>
      </c>
      <c r="AA221" s="17" cm="1">
        <f t="array" ref="AA221">$H221 *
IF(ISNUMBER(SEARCH("Rapid",$L221)),7/6,1) *
IF(OR(ISNUMBER(SEARCH("Beam",$L221)),ISNUMBER(SEARCH("Firestorm",$L221))),1, IF(ISNUMBER(SEARCH("Blast",$L221)),(4+$F221+(2-$F221)*0.5)/6*2,(4+$F221)/6)) *
IF(ISNUMBER(SEARCH("Fusion",$L221)), _xlfn.IFS(AA$24-$I221 &lt;=1, 9/10, AA$24-$I221 &lt;=10,(11-(AA$24-$I221))/10, AA$24-$I221 &gt;=11, 0),
_xlfn.IFS(AA$24-$I221 &lt;=1, 5/6, AA$24-$I221 &lt;=5, (7-(AA$24-$I221))/6, AND(AA$24-$I221 =6,NOT(_xlfn.IFNA(ISNUMBER(SEARCH("Rending",$L221)),FALSE))), (7-(AA$24-$I221))/6, AND(AA$24-$I221 &gt;=7,NOT(_xlfn.IFNA(ISNUMBER(SEARCH("Rending",$L221)),FALSE))), 0, AA$24-$I221 =7, (7-(AA$24-1-$I221))/6, AA$24-$I221 =8, (7-(AA$24-2-$I221))/6*2/3, AA$24-$I221 =9, (7-(AA$24-3-$I221))/6*1/3, TRUE, 0)) *
IF(ISNUMBER(SEARCH("Ordinance",$L221)),7/6,1) *
IF(OR(ISNUMBER(SEARCH("Melee",$L221)),ISNUMBER(SEARCH("Bypass",$L221))),1.5,1)</f>
        <v>0.22222222222222221</v>
      </c>
      <c r="AB221" s="17" cm="1">
        <f t="array" ref="AB221">$H221 *
IF(ISNUMBER(SEARCH("Rapid",$L221)),7/6,1) *
IF(OR(ISNUMBER(SEARCH("Beam",$L221)),ISNUMBER(SEARCH("Firestorm",$L221))),1, IF(ISNUMBER(SEARCH("Blast",$L221)),(4+$F221+(2-$F221)*0.5)/6*2,(4+$F221)/6)) *
IF(ISNUMBER(SEARCH("Fusion",$L221)), _xlfn.IFS(AB$24-$I221 &lt;=1, 9/10, AB$24-$I221 &lt;=10,(11-(AB$24-$I221))/10, AB$24-$I221 &gt;=11, 0),
_xlfn.IFS(AB$24-$I221 &lt;=1, 5/6, AB$24-$I221 &lt;=5, (7-(AB$24-$I221))/6, AND(AB$24-$I221 =6,NOT(_xlfn.IFNA(ISNUMBER(SEARCH("Rending",$L221)),FALSE))), (7-(AB$24-$I221))/6, AND(AB$24-$I221 &gt;=7,NOT(_xlfn.IFNA(ISNUMBER(SEARCH("Rending",$L221)),FALSE))), 0, AB$24-$I221 =7, (7-(AB$24-1-$I221))/6, AB$24-$I221 =8, (7-(AB$24-2-$I221))/6*2/3, AB$24-$I221 =9, (7-(AB$24-3-$I221))/6*1/3, TRUE, 0)) *
IF(ISNUMBER(SEARCH("Ordinance",$L221)),7/6,1) *
IF(OR(ISNUMBER(SEARCH("Melee",$L221)),ISNUMBER(SEARCH("Bypass",$L221))),1.5,1)</f>
        <v>0.14814814814814814</v>
      </c>
      <c r="AC221" s="17" cm="1">
        <f t="array" ref="AC221">$H221 *
IF(ISNUMBER(SEARCH("Rapid",$L221)),7/6,1) *
IF(OR(ISNUMBER(SEARCH("Beam",$L221)),ISNUMBER(SEARCH("Firestorm",$L221))),1, IF(ISNUMBER(SEARCH("Blast",$L221)),(4+$F221+(2-$F221)*0.5)/6*2,(4+$F221)/6)) *
IF(ISNUMBER(SEARCH("Fusion",$L221)), _xlfn.IFS(AC$24-$I221 &lt;=1, 9/10, AC$24-$I221 &lt;=10,(11-(AC$24-$I221))/10, AC$24-$I221 &gt;=11, 0),
_xlfn.IFS(AC$24-$I221 &lt;=1, 5/6, AC$24-$I221 &lt;=5, (7-(AC$24-$I221))/6, AND(AC$24-$I221 =6,NOT(_xlfn.IFNA(ISNUMBER(SEARCH("Rending",$L221)),FALSE))), (7-(AC$24-$I221))/6, AND(AC$24-$I221 &gt;=7,NOT(_xlfn.IFNA(ISNUMBER(SEARCH("Rending",$L221)),FALSE))), 0, AC$24-$I221 =7, (7-(AC$24-1-$I221))/6, AC$24-$I221 =8, (7-(AC$24-2-$I221))/6*2/3, AC$24-$I221 =9, (7-(AC$24-3-$I221))/6*1/3, TRUE, 0)) *
IF(ISNUMBER(SEARCH("Ordinance",$L221)),7/6,1) *
IF(OR(ISNUMBER(SEARCH("Melee",$L221)),ISNUMBER(SEARCH("Bypass",$L221))),1.5,1)</f>
        <v>7.407407407407407E-2</v>
      </c>
      <c r="AD221" s="17" cm="1">
        <f t="array" ref="AD221">$H221 *
IF(ISNUMBER(SEARCH("Rapid",$L221)),7/6,1) *
IF(OR(ISNUMBER(SEARCH("Beam",$L221)),ISNUMBER(SEARCH("Firestorm",$L221))),1, IF(ISNUMBER(SEARCH("Blast",$L221)),(4+$F221+(2-$F221)*0.5)/6*2,(4+$F221)/6)) *
IF(ISNUMBER(SEARCH("Fusion",$L221)), _xlfn.IFS(AD$24-$I221 &lt;=1, 9/10, AD$24-$I221 &lt;=10,(11-(AD$24-$I221))/10, AD$24-$I221 &gt;=11, 0),
_xlfn.IFS(AD$24-$I221 &lt;=1, 5/6, AD$24-$I221 &lt;=5, (7-(AD$24-$I221))/6, AND(AD$24-$I221 =6,NOT(_xlfn.IFNA(ISNUMBER(SEARCH("Rending",$L221)),FALSE))), (7-(AD$24-$I221))/6, AND(AD$24-$I221 &gt;=7,NOT(_xlfn.IFNA(ISNUMBER(SEARCH("Rending",$L221)),FALSE))), 0, AD$24-$I221 =7, (7-(AD$24-1-$I221))/6, AD$24-$I221 =8, (7-(AD$24-2-$I221))/6*2/3, AD$24-$I221 =9, (7-(AD$24-3-$I221))/6*1/3, TRUE, 0)) *
IF(ISNUMBER(SEARCH("Ordinance",$L221)),7/6,1) *
IF(OR(ISNUMBER(SEARCH("Melee",$L221)),ISNUMBER(SEARCH("Bypass",$L221))),1.5,1)</f>
        <v>0</v>
      </c>
      <c r="AE221" s="17" cm="1">
        <f t="array" ref="AE221">$H221 *
IF(ISNUMBER(SEARCH("Rapid",$L221)),7/6,1) *
IF(OR(ISNUMBER(SEARCH("Beam",$L221)),ISNUMBER(SEARCH("Firestorm",$L221))),1, IF(ISNUMBER(SEARCH("Blast",$L221)),(4+$F221+(2-$F221)*0.5)/6*2,(4+$F221)/6)) *
IF(ISNUMBER(SEARCH("Fusion",$L221)), _xlfn.IFS(AE$24-$I221 &lt;=1, 9/10, AE$24-$I221 &lt;=10,(11-(AE$24-$I221))/10, AE$24-$I221 &gt;=11, 0),
_xlfn.IFS(AE$24-$I221 &lt;=1, 5/6, AE$24-$I221 &lt;=5, (7-(AE$24-$I221))/6, AND(AE$24-$I221 =6,NOT(_xlfn.IFNA(ISNUMBER(SEARCH("Rending",$L221)),FALSE))), (7-(AE$24-$I221))/6, AND(AE$24-$I221 &gt;=7,NOT(_xlfn.IFNA(ISNUMBER(SEARCH("Rending",$L221)),FALSE))), 0, AE$24-$I221 =7, (7-(AE$24-1-$I221))/6, AE$24-$I221 =8, (7-(AE$24-2-$I221))/6*2/3, AE$24-$I221 =9, (7-(AE$24-3-$I221))/6*1/3, TRUE, 0)) *
IF(ISNUMBER(SEARCH("Ordinance",$L221)),7/6,1) *
IF(OR(ISNUMBER(SEARCH("Melee",$L221)),ISNUMBER(SEARCH("Bypass",$L221))),1.5,1)</f>
        <v>0</v>
      </c>
      <c r="AF221" s="17" cm="1">
        <f t="array" ref="AF221">$H221 *
IF(ISNUMBER(SEARCH("Rapid",$L221)),7/6,1) *
IF(OR(ISNUMBER(SEARCH("Beam",$L221)),ISNUMBER(SEARCH("Firestorm",$L221))),1, IF(ISNUMBER(SEARCH("Blast",$L221)),(4+$F221+(2-$F221)*0.5)/6*2,(4+$F221)/6)) *
IF(ISNUMBER(SEARCH("Fusion",$L221)), _xlfn.IFS(AF$24-$I221 &lt;=1, 9/10, AF$24-$I221 &lt;=10,(11-(AF$24-$I221))/10, AF$24-$I221 &gt;=11, 0),
_xlfn.IFS(AF$24-$I221 &lt;=1, 5/6, AF$24-$I221 &lt;=5, (7-(AF$24-$I221))/6, AND(AF$24-$I221 =6,NOT(_xlfn.IFNA(ISNUMBER(SEARCH("Rending",$L221)),FALSE))), (7-(AF$24-$I221))/6, AND(AF$24-$I221 &gt;=7,NOT(_xlfn.IFNA(ISNUMBER(SEARCH("Rending",$L221)),FALSE))), 0, AF$24-$I221 =7, (7-(AF$24-1-$I221))/6, AF$24-$I221 =8, (7-(AF$24-2-$I221))/6*2/3, AF$24-$I221 =9, (7-(AF$24-3-$I221))/6*1/3, TRUE, 0)) *
IF(ISNUMBER(SEARCH("Ordinance",$L221)),7/6,1) *
IF(OR(ISNUMBER(SEARCH("Melee",$L221)),ISNUMBER(SEARCH("Bypass",$L221))),1.5,1)</f>
        <v>0</v>
      </c>
      <c r="AG221" s="16">
        <f t="shared" si="67"/>
        <v>0.44444444444444442</v>
      </c>
      <c r="AH221" s="16">
        <f t="shared" si="68"/>
        <v>0.66666666666666663</v>
      </c>
      <c r="AI221" s="17" cm="1">
        <f t="array" ref="AI221">$H221 *
IF(ISNUMBER(SEARCH("Rapid",$L221)),7/6,1) *
IF(OR(ISNUMBER(SEARCH("Beam",$L221)),ISNUMBER(SEARCH("Firestorm",$L221))),1, IF(ISNUMBER(SEARCH("Blast",$L221)),(4+$G221+(2-$G221)*0.5)/6*2,(4+$G221)/6)) *
_xlfn.IFS(AI$24-$I221 &lt;=1, 5/6, AI$24-$I221 &lt;=5, (7-(AI$24-$I221))/6, AND(AI$24-$I221 =6,NOT(_xlfn.IFNA(ISNUMBER(SEARCH("Rending",$L221)),FALSE))), (7-(AI$24-$I221))/6, AND(AI$24-$I221 &gt;=7,NOT(_xlfn.IFNA(ISNUMBER(SEARCH("Rending",$L221)),FALSE))), 0, AI$24-$I221 =7, (7-(AI$24-1-$I221))/6, AI$24-$I221 =8, (7-(AI$24-2-$I221))/6*2/3, AI$24-$I221 =9, (7-(AI$24-3-$I221))/6*1/3, TRUE, 0) *
IF(ISNUMBER(SEARCH("Ordinance",$L221)),7/6,1) *
IF(OR(ISNUMBER(SEARCH("Melee",$L221)),ISNUMBER(SEARCH("Bypass",$L221))),1.5,1)</f>
        <v>0.66666666666666663</v>
      </c>
      <c r="AJ221" s="17" cm="1">
        <f t="array" ref="AJ221">$H221 *
IF(ISNUMBER(SEARCH("Rapid",$L221)),7/6,1) *
IF(OR(ISNUMBER(SEARCH("Beam",$L221)),ISNUMBER(SEARCH("Firestorm",$L221))),1, IF(ISNUMBER(SEARCH("Blast",$L221)),(4+$G221+(2-$G221)*0.5)/6*2,(4+$G221)/6)) *
_xlfn.IFS(AJ$24-$I221 &lt;=1, 5/6, AJ$24-$I221 &lt;=5, (7-(AJ$24-$I221))/6, AND(AJ$24-$I221 =6,NOT(_xlfn.IFNA(ISNUMBER(SEARCH("Rending",$L221)),FALSE))), (7-(AJ$24-$I221))/6, AND(AJ$24-$I221 &gt;=7,NOT(_xlfn.IFNA(ISNUMBER(SEARCH("Rending",$L221)),FALSE))), 0, AJ$24-$I221 =7, (7-(AJ$24-1-$I221))/6, AJ$24-$I221 =8, (7-(AJ$24-2-$I221))/6*2/3, AJ$24-$I221 =9, (7-(AJ$24-3-$I221))/6*1/3, TRUE, 0) *
IF(ISNUMBER(SEARCH("Ordinance",$L221)),7/6,1) *
IF(OR(ISNUMBER(SEARCH("Melee",$L221)),ISNUMBER(SEARCH("Bypass",$L221))),1.5,1)</f>
        <v>0.44444444444444442</v>
      </c>
      <c r="AK221" s="17" cm="1">
        <f t="array" ref="AK221">$H221 *
IF(ISNUMBER(SEARCH("Rapid",$L221)),7/6,1) *
IF(OR(ISNUMBER(SEARCH("Beam",$L221)),ISNUMBER(SEARCH("Firestorm",$L221))),1, IF(ISNUMBER(SEARCH("Blast",$L221)),(4+$G221+(2-$G221)*0.5)/6*2,(4+$G221)/6)) *
_xlfn.IFS(AK$24-$I221 &lt;=1, 5/6, AK$24-$I221 &lt;=5, (7-(AK$24-$I221))/6, AND(AK$24-$I221 =6,NOT(_xlfn.IFNA(ISNUMBER(SEARCH("Rending",$L221)),FALSE))), (7-(AK$24-$I221))/6, AND(AK$24-$I221 &gt;=7,NOT(_xlfn.IFNA(ISNUMBER(SEARCH("Rending",$L221)),FALSE))), 0, AK$24-$I221 =7, (7-(AK$24-1-$I221))/6, AK$24-$I221 =8, (7-(AK$24-2-$I221))/6*2/3, AK$24-$I221 =9, (7-(AK$24-3-$I221))/6*1/3, TRUE, 0) *
IF(ISNUMBER(SEARCH("Ordinance",$L221)),7/6,1) *
IF(OR(ISNUMBER(SEARCH("Melee",$L221)),ISNUMBER(SEARCH("Bypass",$L221))),1.5,1)</f>
        <v>0</v>
      </c>
      <c r="AL221" s="17" cm="1">
        <f t="array" ref="AL221">$H221 *
IF(ISNUMBER(SEARCH("Rapid",$L221)),7/6,1) *
IF(OR(ISNUMBER(SEARCH("Beam",$L221)),ISNUMBER(SEARCH("Firestorm",$L221))),1, IF(ISNUMBER(SEARCH("Blast",$L221)),(4+$G221+(2-$G221)*0.5)/6*2,(4+$G221)/6)) *
_xlfn.IFS(AL$24-$I221 &lt;=1, 5/6, AL$24-$I221 &lt;=5, (7-(AL$24-$I221))/6, AND(AL$24-$I221 =6,NOT(_xlfn.IFNA(ISNUMBER(SEARCH("Rending",$L221)),FALSE))), (7-(AL$24-$I221))/6, AND(AL$24-$I221 &gt;=7,NOT(_xlfn.IFNA(ISNUMBER(SEARCH("Rending",$L221)),FALSE))), 0, AL$24-$I221 =7, (7-(AL$24-1-$I221))/6, AL$24-$I221 =8, (7-(AL$24-2-$I221))/6*2/3, AL$24-$I221 =9, (7-(AL$24-3-$I221))/6*1/3, TRUE, 0) *
IF(ISNUMBER(SEARCH("Ordinance",$L221)),7/6,1) *
IF(OR(ISNUMBER(SEARCH("Melee",$L221)),ISNUMBER(SEARCH("Bypass",$L221))),1.5,1)</f>
        <v>0.22222222222222221</v>
      </c>
      <c r="AM221" s="17" cm="1">
        <f t="array" ref="AM221">$H221 *
IF(ISNUMBER(SEARCH("Rapid",$L221)),7/6,1) *
IF(OR(ISNUMBER(SEARCH("Beam",$L221)),ISNUMBER(SEARCH("Firestorm",$L221))),1, IF(ISNUMBER(SEARCH("Blast",$L221)),(4+$G221+(2-$G221)*0.5)/6*2,(4+$G221)/6)) *
_xlfn.IFS(AM$24-$I221 &lt;=1, 5/6, AM$24-$I221 &lt;=5, (7-(AM$24-$I221))/6, AND(AM$24-$I221 =6,NOT(_xlfn.IFNA(ISNUMBER(SEARCH("Rending",$L221)),FALSE))), (7-(AM$24-$I221))/6, AND(AM$24-$I221 &gt;=7,NOT(_xlfn.IFNA(ISNUMBER(SEARCH("Rending",$L221)),FALSE))), 0, AM$24-$I221 =7, (7-(AM$24-1-$I221))/6, AM$24-$I221 =8, (7-(AM$24-2-$I221))/6*2/3, AM$24-$I221 =9, (7-(AM$24-3-$I221))/6*1/3, TRUE, 0) *
IF(ISNUMBER(SEARCH("Ordinance",$L221)),7/6,1) *
IF(OR(ISNUMBER(SEARCH("Melee",$L221)),ISNUMBER(SEARCH("Bypass",$L221))),1.5,1)</f>
        <v>0.14814814814814814</v>
      </c>
      <c r="AN221" s="17" cm="1">
        <f t="array" ref="AN221">$H221 *
IF(ISNUMBER(SEARCH("Rapid",$L221)),7/6,1) *
IF(OR(ISNUMBER(SEARCH("Beam",$L221)),ISNUMBER(SEARCH("Firestorm",$L221))),1, IF(ISNUMBER(SEARCH("Blast",$L221)),(4+$G221+(2-$G221)*0.5)/6*2,(4+$G221)/6)) *
_xlfn.IFS(AN$24-$I221 &lt;=1, 5/6, AN$24-$I221 &lt;=5, (7-(AN$24-$I221))/6, AND(AN$24-$I221 =6,NOT(_xlfn.IFNA(ISNUMBER(SEARCH("Rending",$L221)),FALSE))), (7-(AN$24-$I221))/6, AND(AN$24-$I221 &gt;=7,NOT(_xlfn.IFNA(ISNUMBER(SEARCH("Rending",$L221)),FALSE))), 0, AN$24-$I221 =7, (7-(AN$24-1-$I221))/6, AN$24-$I221 =8, (7-(AN$24-2-$I221))/6*2/3, AN$24-$I221 =9, (7-(AN$24-3-$I221))/6*1/3, TRUE, 0) *
IF(ISNUMBER(SEARCH("Ordinance",$L221)),7/6,1) *
IF(OR(ISNUMBER(SEARCH("Melee",$L221)),ISNUMBER(SEARCH("Bypass",$L221))),1.5,1)</f>
        <v>7.407407407407407E-2</v>
      </c>
      <c r="AO221" s="17" cm="1">
        <f t="array" ref="AO221">$H221 *
IF(ISNUMBER(SEARCH("Rapid",$L221)),7/6,1) *
IF(OR(ISNUMBER(SEARCH("Beam",$L221)),ISNUMBER(SEARCH("Firestorm",$L221))),1, IF(ISNUMBER(SEARCH("Blast",$L221)),(4+$G221+(2-$G221)*0.5)/6*2,(4+$G221)/6)) *
_xlfn.IFS(AO$24-$I221 &lt;=1, 5/6, AO$24-$I221 &lt;=5, (7-(AO$24-$I221))/6, AND(AO$24-$I221 =6,NOT(_xlfn.IFNA(ISNUMBER(SEARCH("Rending",$L221)),FALSE))), (7-(AO$24-$I221))/6, AND(AO$24-$I221 &gt;=7,NOT(_xlfn.IFNA(ISNUMBER(SEARCH("Rending",$L221)),FALSE))), 0, AO$24-$I221 =7, (7-(AO$24-1-$I221))/6, AO$24-$I221 =8, (7-(AO$24-2-$I221))/6*2/3, AO$24-$I221 =9, (7-(AO$24-3-$I221))/6*1/3, TRUE, 0) *
IF(ISNUMBER(SEARCH("Ordinance",$L221)),7/6,1) *
IF(OR(ISNUMBER(SEARCH("Melee",$L221)),ISNUMBER(SEARCH("Bypass",$L221))),1.5,1)</f>
        <v>0</v>
      </c>
      <c r="AP221" s="17" cm="1">
        <f t="array" ref="AP221">$H221 *
IF(ISNUMBER(SEARCH("Rapid",$L221)),7/6,1) *
IF(OR(ISNUMBER(SEARCH("Beam",$L221)),ISNUMBER(SEARCH("Firestorm",$L221))),1, IF(ISNUMBER(SEARCH("Blast",$L221)),(4+$G221+(2-$G221)*0.5)/6*2,(4+$G221)/6)) *
_xlfn.IFS(AP$24-$I221 &lt;=1, 5/6, AP$24-$I221 &lt;=5, (7-(AP$24-$I221))/6, AND(AP$24-$I221 =6,NOT(_xlfn.IFNA(ISNUMBER(SEARCH("Rending",$L221)),FALSE))), (7-(AP$24-$I221))/6, AND(AP$24-$I221 &gt;=7,NOT(_xlfn.IFNA(ISNUMBER(SEARCH("Rending",$L221)),FALSE))), 0, AP$24-$I221 =7, (7-(AP$24-1-$I221))/6, AP$24-$I221 =8, (7-(AP$24-2-$I221))/6*2/3, AP$24-$I221 =9, (7-(AP$24-3-$I221))/6*1/3, TRUE, 0) *
IF(ISNUMBER(SEARCH("Ordinance",$L221)),7/6,1) *
IF(OR(ISNUMBER(SEARCH("Melee",$L221)),ISNUMBER(SEARCH("Bypass",$L221))),1.5,1)</f>
        <v>0</v>
      </c>
      <c r="AQ221" s="17" cm="1">
        <f t="array" ref="AQ221">$H221 *
IF(ISNUMBER(SEARCH("Rapid",$L221)),7/6,1) *
IF(OR(ISNUMBER(SEARCH("Beam",$L221)),ISNUMBER(SEARCH("Firestorm",$L221))),1, IF(ISNUMBER(SEARCH("Blast",$L221)),(4+$G221+(2-$G221)*0.5)/6*2,(4+$G221)/6)) *
_xlfn.IFS(AQ$24-$I221 &lt;=1, 5/6, AQ$24-$I221 &lt;=5, (7-(AQ$24-$I221))/6, AND(AQ$24-$I221 =6,NOT(_xlfn.IFNA(ISNUMBER(SEARCH("Rending",$L221)),FALSE))), (7-(AQ$24-$I221))/6, AND(AQ$24-$I221 &gt;=7,NOT(_xlfn.IFNA(ISNUMBER(SEARCH("Rending",$L221)),FALSE))), 0, AQ$24-$I221 =7, (7-(AQ$24-1-$I221))/6, AQ$24-$I221 =8, (7-(AQ$24-2-$I221))/6*2/3, AQ$24-$I221 =9, (7-(AQ$24-3-$I221))/6*1/3, TRUE, 0) *
IF(ISNUMBER(SEARCH("Ordinance",$L221)),7/6,1) *
IF(OR(ISNUMBER(SEARCH("Melee",$L221)),ISNUMBER(SEARCH("Bypass",$L221))),1.5,1)</f>
        <v>0</v>
      </c>
      <c r="AS221" s="16">
        <f t="shared" si="71"/>
        <v>0.16296296296296298</v>
      </c>
      <c r="AT221" s="16">
        <f t="shared" si="71"/>
        <v>0.24444444444444446</v>
      </c>
      <c r="AU221" s="16">
        <f>IF(D221+E221=3,
 IF(E221=3, 2.5*AI221,
  IF(E221=2, 1.8*AI221+0.7*X221,
   IF(E221=1, 0.95*AI221+1.55*X221,
    2.5*X221))),
 IF(D221+E221=2,
  IF(E221=2, 1.55*AI221,
   IF(E221 =1, 0.85*AI221+0.7*X221,
    1.55*X221)),
  IF(E221=1, 0.95*AI221,
   0.7*X221))
)/3</f>
        <v>0.15555555555555553</v>
      </c>
      <c r="AV221" s="2">
        <v>9</v>
      </c>
    </row>
    <row r="222" spans="1:48" x14ac:dyDescent="0.3">
      <c r="A222" s="4"/>
      <c r="F222" s="10"/>
      <c r="G222" s="10"/>
      <c r="V222" s="16">
        <f t="shared" si="65"/>
        <v>0</v>
      </c>
      <c r="W222" s="16">
        <f t="shared" si="66"/>
        <v>0</v>
      </c>
      <c r="X222" s="17" cm="1">
        <f t="array" ref="X222">$H222 *
IF(ISNUMBER(SEARCH("Rapid",$L222)),7/6,1) *
IF(OR(ISNUMBER(SEARCH("Beam",$L222)),ISNUMBER(SEARCH("Firestorm",$L222))),1, IF(ISNUMBER(SEARCH("Blast",$L222)),(4+$F222+(2-$F222)*0.5)/6*2,(4+$F222)/6)) *
IF(ISNUMBER(SEARCH("Fusion",$L222)), _xlfn.IFS(X$24-$I222 &lt;=1, 9/10, X$24-$I222 &lt;=10,(11-(X$24-$I222))/10, X$24-$I222 &gt;=11, 0),
_xlfn.IFS(X$24-$I222 &lt;=1, 5/6, X$24-$I222 &lt;=5, (7-(X$24-$I222))/6, AND(X$24-$I222 =6,NOT(_xlfn.IFNA(ISNUMBER(SEARCH("Rending",$L222)),FALSE))), (7-(X$24-$I222))/6, AND(X$24-$I222 &gt;=7,NOT(_xlfn.IFNA(ISNUMBER(SEARCH("Rending",$L222)),FALSE))), 0, X$24-$I222 =7, (7-(X$24-1-$I222))/6, X$24-$I222 =8, (7-(X$24-2-$I222))/6*2/3, X$24-$I222 =9, (7-(X$24-3-$I222))/6*1/3, TRUE, 0)) *
IF(ISNUMBER(SEARCH("Ordinance",$L222)),7/6,1) *
IF(OR(ISNUMBER(SEARCH("Melee",$L222)),ISNUMBER(SEARCH("Bypass",$L222))),1.5,1)</f>
        <v>0</v>
      </c>
      <c r="Y222" s="17" cm="1">
        <f t="array" ref="Y222">$H222 *
IF(ISNUMBER(SEARCH("Rapid",$L222)),7/6,1) *
IF(OR(ISNUMBER(SEARCH("Beam",$L222)),ISNUMBER(SEARCH("Firestorm",$L222))),1, IF(ISNUMBER(SEARCH("Blast",$L222)),(4+$F222+(2-$F222)*0.5)/6*2,(4+$F222)/6)) *
IF(ISNUMBER(SEARCH("Fusion",$L222)), _xlfn.IFS(Y$24-$I222 &lt;=1, 9/10, Y$24-$I222 &lt;=10,(11-(Y$24-$I222))/10, Y$24-$I222 &gt;=11, 0),
_xlfn.IFS(Y$24-$I222 &lt;=1, 5/6, Y$24-$I222 &lt;=5, (7-(Y$24-$I222))/6, AND(Y$24-$I222 =6,NOT(_xlfn.IFNA(ISNUMBER(SEARCH("Rending",$L222)),FALSE))), (7-(Y$24-$I222))/6, AND(Y$24-$I222 &gt;=7,NOT(_xlfn.IFNA(ISNUMBER(SEARCH("Rending",$L222)),FALSE))), 0, Y$24-$I222 =7, (7-(Y$24-1-$I222))/6, Y$24-$I222 =8, (7-(Y$24-2-$I222))/6*2/3, Y$24-$I222 =9, (7-(Y$24-3-$I222))/6*1/3, TRUE, 0)) *
IF(ISNUMBER(SEARCH("Ordinance",$L222)),7/6,1) *
IF(OR(ISNUMBER(SEARCH("Melee",$L222)),ISNUMBER(SEARCH("Bypass",$L222))),1.5,1)</f>
        <v>0</v>
      </c>
      <c r="Z222" s="17" cm="1">
        <f t="array" ref="Z222">$H222 *
IF(ISNUMBER(SEARCH("Rapid",$L222)),7/6,1) *
IF(OR(ISNUMBER(SEARCH("Beam",$L222)),ISNUMBER(SEARCH("Firestorm",$L222))),1, IF(ISNUMBER(SEARCH("Blast",$L222)),(4+$F222+(2-$F222)*0.5)/6*2,(4+$F222)/6)) *
IF(ISNUMBER(SEARCH("Fusion",$L222)), _xlfn.IFS(Z$24-$I222 &lt;=1, 9/10, Z$24-$I222 &lt;=10,(11-(Z$24-$I222))/10, Z$24-$I222 &gt;=11, 0),
_xlfn.IFS(Z$24-$I222 &lt;=1, 5/6, Z$24-$I222 &lt;=5, (7-(Z$24-$I222))/6, AND(Z$24-$I222 =6,NOT(_xlfn.IFNA(ISNUMBER(SEARCH("Rending",$L222)),FALSE))), (7-(Z$24-$I222))/6, AND(Z$24-$I222 &gt;=7,NOT(_xlfn.IFNA(ISNUMBER(SEARCH("Rending",$L222)),FALSE))), 0, Z$24-$I222 =7, (7-(Z$24-1-$I222))/6, Z$24-$I222 =8, (7-(Z$24-2-$I222))/6*2/3, Z$24-$I222 =9, (7-(Z$24-3-$I222))/6*1/3, TRUE, 0)) *
IF(ISNUMBER(SEARCH("Ordinance",$L222)),7/6,1) *
IF(OR(ISNUMBER(SEARCH("Melee",$L222)),ISNUMBER(SEARCH("Bypass",$L222))),1.5,1)</f>
        <v>0</v>
      </c>
      <c r="AA222" s="17" cm="1">
        <f t="array" ref="AA222">$H222 *
IF(ISNUMBER(SEARCH("Rapid",$L222)),7/6,1) *
IF(OR(ISNUMBER(SEARCH("Beam",$L222)),ISNUMBER(SEARCH("Firestorm",$L222))),1, IF(ISNUMBER(SEARCH("Blast",$L222)),(4+$F222+(2-$F222)*0.5)/6*2,(4+$F222)/6)) *
IF(ISNUMBER(SEARCH("Fusion",$L222)), _xlfn.IFS(AA$24-$I222 &lt;=1, 9/10, AA$24-$I222 &lt;=10,(11-(AA$24-$I222))/10, AA$24-$I222 &gt;=11, 0),
_xlfn.IFS(AA$24-$I222 &lt;=1, 5/6, AA$24-$I222 &lt;=5, (7-(AA$24-$I222))/6, AND(AA$24-$I222 =6,NOT(_xlfn.IFNA(ISNUMBER(SEARCH("Rending",$L222)),FALSE))), (7-(AA$24-$I222))/6, AND(AA$24-$I222 &gt;=7,NOT(_xlfn.IFNA(ISNUMBER(SEARCH("Rending",$L222)),FALSE))), 0, AA$24-$I222 =7, (7-(AA$24-1-$I222))/6, AA$24-$I222 =8, (7-(AA$24-2-$I222))/6*2/3, AA$24-$I222 =9, (7-(AA$24-3-$I222))/6*1/3, TRUE, 0)) *
IF(ISNUMBER(SEARCH("Ordinance",$L222)),7/6,1) *
IF(OR(ISNUMBER(SEARCH("Melee",$L222)),ISNUMBER(SEARCH("Bypass",$L222))),1.5,1)</f>
        <v>0</v>
      </c>
      <c r="AB222" s="17" cm="1">
        <f t="array" ref="AB222">$H222 *
IF(ISNUMBER(SEARCH("Rapid",$L222)),7/6,1) *
IF(OR(ISNUMBER(SEARCH("Beam",$L222)),ISNUMBER(SEARCH("Firestorm",$L222))),1, IF(ISNUMBER(SEARCH("Blast",$L222)),(4+$F222+(2-$F222)*0.5)/6*2,(4+$F222)/6)) *
IF(ISNUMBER(SEARCH("Fusion",$L222)), _xlfn.IFS(AB$24-$I222 &lt;=1, 9/10, AB$24-$I222 &lt;=10,(11-(AB$24-$I222))/10, AB$24-$I222 &gt;=11, 0),
_xlfn.IFS(AB$24-$I222 &lt;=1, 5/6, AB$24-$I222 &lt;=5, (7-(AB$24-$I222))/6, AND(AB$24-$I222 =6,NOT(_xlfn.IFNA(ISNUMBER(SEARCH("Rending",$L222)),FALSE))), (7-(AB$24-$I222))/6, AND(AB$24-$I222 &gt;=7,NOT(_xlfn.IFNA(ISNUMBER(SEARCH("Rending",$L222)),FALSE))), 0, AB$24-$I222 =7, (7-(AB$24-1-$I222))/6, AB$24-$I222 =8, (7-(AB$24-2-$I222))/6*2/3, AB$24-$I222 =9, (7-(AB$24-3-$I222))/6*1/3, TRUE, 0)) *
IF(ISNUMBER(SEARCH("Ordinance",$L222)),7/6,1) *
IF(OR(ISNUMBER(SEARCH("Melee",$L222)),ISNUMBER(SEARCH("Bypass",$L222))),1.5,1)</f>
        <v>0</v>
      </c>
      <c r="AC222" s="17" cm="1">
        <f t="array" ref="AC222">$H222 *
IF(ISNUMBER(SEARCH("Rapid",$L222)),7/6,1) *
IF(OR(ISNUMBER(SEARCH("Beam",$L222)),ISNUMBER(SEARCH("Firestorm",$L222))),1, IF(ISNUMBER(SEARCH("Blast",$L222)),(4+$F222+(2-$F222)*0.5)/6*2,(4+$F222)/6)) *
IF(ISNUMBER(SEARCH("Fusion",$L222)), _xlfn.IFS(AC$24-$I222 &lt;=1, 9/10, AC$24-$I222 &lt;=10,(11-(AC$24-$I222))/10, AC$24-$I222 &gt;=11, 0),
_xlfn.IFS(AC$24-$I222 &lt;=1, 5/6, AC$24-$I222 &lt;=5, (7-(AC$24-$I222))/6, AND(AC$24-$I222 =6,NOT(_xlfn.IFNA(ISNUMBER(SEARCH("Rending",$L222)),FALSE))), (7-(AC$24-$I222))/6, AND(AC$24-$I222 &gt;=7,NOT(_xlfn.IFNA(ISNUMBER(SEARCH("Rending",$L222)),FALSE))), 0, AC$24-$I222 =7, (7-(AC$24-1-$I222))/6, AC$24-$I222 =8, (7-(AC$24-2-$I222))/6*2/3, AC$24-$I222 =9, (7-(AC$24-3-$I222))/6*1/3, TRUE, 0)) *
IF(ISNUMBER(SEARCH("Ordinance",$L222)),7/6,1) *
IF(OR(ISNUMBER(SEARCH("Melee",$L222)),ISNUMBER(SEARCH("Bypass",$L222))),1.5,1)</f>
        <v>0</v>
      </c>
      <c r="AD222" s="17" cm="1">
        <f t="array" ref="AD222">$H222 *
IF(ISNUMBER(SEARCH("Rapid",$L222)),7/6,1) *
IF(OR(ISNUMBER(SEARCH("Beam",$L222)),ISNUMBER(SEARCH("Firestorm",$L222))),1, IF(ISNUMBER(SEARCH("Blast",$L222)),(4+$F222+(2-$F222)*0.5)/6*2,(4+$F222)/6)) *
IF(ISNUMBER(SEARCH("Fusion",$L222)), _xlfn.IFS(AD$24-$I222 &lt;=1, 9/10, AD$24-$I222 &lt;=10,(11-(AD$24-$I222))/10, AD$24-$I222 &gt;=11, 0),
_xlfn.IFS(AD$24-$I222 &lt;=1, 5/6, AD$24-$I222 &lt;=5, (7-(AD$24-$I222))/6, AND(AD$24-$I222 =6,NOT(_xlfn.IFNA(ISNUMBER(SEARCH("Rending",$L222)),FALSE))), (7-(AD$24-$I222))/6, AND(AD$24-$I222 &gt;=7,NOT(_xlfn.IFNA(ISNUMBER(SEARCH("Rending",$L222)),FALSE))), 0, AD$24-$I222 =7, (7-(AD$24-1-$I222))/6, AD$24-$I222 =8, (7-(AD$24-2-$I222))/6*2/3, AD$24-$I222 =9, (7-(AD$24-3-$I222))/6*1/3, TRUE, 0)) *
IF(ISNUMBER(SEARCH("Ordinance",$L222)),7/6,1) *
IF(OR(ISNUMBER(SEARCH("Melee",$L222)),ISNUMBER(SEARCH("Bypass",$L222))),1.5,1)</f>
        <v>0</v>
      </c>
      <c r="AE222" s="17" cm="1">
        <f t="array" ref="AE222">$H222 *
IF(ISNUMBER(SEARCH("Rapid",$L222)),7/6,1) *
IF(OR(ISNUMBER(SEARCH("Beam",$L222)),ISNUMBER(SEARCH("Firestorm",$L222))),1, IF(ISNUMBER(SEARCH("Blast",$L222)),(4+$F222+(2-$F222)*0.5)/6*2,(4+$F222)/6)) *
IF(ISNUMBER(SEARCH("Fusion",$L222)), _xlfn.IFS(AE$24-$I222 &lt;=1, 9/10, AE$24-$I222 &lt;=10,(11-(AE$24-$I222))/10, AE$24-$I222 &gt;=11, 0),
_xlfn.IFS(AE$24-$I222 &lt;=1, 5/6, AE$24-$I222 &lt;=5, (7-(AE$24-$I222))/6, AND(AE$24-$I222 =6,NOT(_xlfn.IFNA(ISNUMBER(SEARCH("Rending",$L222)),FALSE))), (7-(AE$24-$I222))/6, AND(AE$24-$I222 &gt;=7,NOT(_xlfn.IFNA(ISNUMBER(SEARCH("Rending",$L222)),FALSE))), 0, AE$24-$I222 =7, (7-(AE$24-1-$I222))/6, AE$24-$I222 =8, (7-(AE$24-2-$I222))/6*2/3, AE$24-$I222 =9, (7-(AE$24-3-$I222))/6*1/3, TRUE, 0)) *
IF(ISNUMBER(SEARCH("Ordinance",$L222)),7/6,1) *
IF(OR(ISNUMBER(SEARCH("Melee",$L222)),ISNUMBER(SEARCH("Bypass",$L222))),1.5,1)</f>
        <v>0</v>
      </c>
      <c r="AF222" s="17" cm="1">
        <f t="array" ref="AF222">$H222 *
IF(ISNUMBER(SEARCH("Rapid",$L222)),7/6,1) *
IF(OR(ISNUMBER(SEARCH("Beam",$L222)),ISNUMBER(SEARCH("Firestorm",$L222))),1, IF(ISNUMBER(SEARCH("Blast",$L222)),(4+$F222+(2-$F222)*0.5)/6*2,(4+$F222)/6)) *
IF(ISNUMBER(SEARCH("Fusion",$L222)), _xlfn.IFS(AF$24-$I222 &lt;=1, 9/10, AF$24-$I222 &lt;=10,(11-(AF$24-$I222))/10, AF$24-$I222 &gt;=11, 0),
_xlfn.IFS(AF$24-$I222 &lt;=1, 5/6, AF$24-$I222 &lt;=5, (7-(AF$24-$I222))/6, AND(AF$24-$I222 =6,NOT(_xlfn.IFNA(ISNUMBER(SEARCH("Rending",$L222)),FALSE))), (7-(AF$24-$I222))/6, AND(AF$24-$I222 &gt;=7,NOT(_xlfn.IFNA(ISNUMBER(SEARCH("Rending",$L222)),FALSE))), 0, AF$24-$I222 =7, (7-(AF$24-1-$I222))/6, AF$24-$I222 =8, (7-(AF$24-2-$I222))/6*2/3, AF$24-$I222 =9, (7-(AF$24-3-$I222))/6*1/3, TRUE, 0)) *
IF(ISNUMBER(SEARCH("Ordinance",$L222)),7/6,1) *
IF(OR(ISNUMBER(SEARCH("Melee",$L222)),ISNUMBER(SEARCH("Bypass",$L222))),1.5,1)</f>
        <v>0</v>
      </c>
      <c r="AG222" s="16">
        <f t="shared" si="67"/>
        <v>0</v>
      </c>
      <c r="AH222" s="16">
        <f t="shared" si="68"/>
        <v>0</v>
      </c>
      <c r="AI222" s="17" cm="1">
        <f t="array" ref="AI222">$H222 *
IF(ISNUMBER(SEARCH("Rapid",$L222)),7/6,1) *
IF(OR(ISNUMBER(SEARCH("Beam",$L222)),ISNUMBER(SEARCH("Firestorm",$L222))),1, IF(ISNUMBER(SEARCH("Blast",$L222)),(4+$G222+(2-$G222)*0.5)/6*2,(4+$G222)/6)) *
_xlfn.IFS(AI$24-$I222 &lt;=1, 5/6, AI$24-$I222 &lt;=5, (7-(AI$24-$I222))/6, AND(AI$24-$I222 =6,NOT(_xlfn.IFNA(ISNUMBER(SEARCH("Rending",$L222)),FALSE))), (7-(AI$24-$I222))/6, AND(AI$24-$I222 &gt;=7,NOT(_xlfn.IFNA(ISNUMBER(SEARCH("Rending",$L222)),FALSE))), 0, AI$24-$I222 =7, (7-(AI$24-1-$I222))/6, AI$24-$I222 =8, (7-(AI$24-2-$I222))/6*2/3, AI$24-$I222 =9, (7-(AI$24-3-$I222))/6*1/3, TRUE, 0) *
IF(ISNUMBER(SEARCH("Ordinance",$L222)),7/6,1) *
IF(OR(ISNUMBER(SEARCH("Melee",$L222)),ISNUMBER(SEARCH("Bypass",$L222))),1.5,1)</f>
        <v>0</v>
      </c>
      <c r="AJ222" s="17" cm="1">
        <f t="array" ref="AJ222">$H222 *
IF(ISNUMBER(SEARCH("Rapid",$L222)),7/6,1) *
IF(OR(ISNUMBER(SEARCH("Beam",$L222)),ISNUMBER(SEARCH("Firestorm",$L222))),1, IF(ISNUMBER(SEARCH("Blast",$L222)),(4+$G222+(2-$G222)*0.5)/6*2,(4+$G222)/6)) *
_xlfn.IFS(AJ$24-$I222 &lt;=1, 5/6, AJ$24-$I222 &lt;=5, (7-(AJ$24-$I222))/6, AND(AJ$24-$I222 =6,NOT(_xlfn.IFNA(ISNUMBER(SEARCH("Rending",$L222)),FALSE))), (7-(AJ$24-$I222))/6, AND(AJ$24-$I222 &gt;=7,NOT(_xlfn.IFNA(ISNUMBER(SEARCH("Rending",$L222)),FALSE))), 0, AJ$24-$I222 =7, (7-(AJ$24-1-$I222))/6, AJ$24-$I222 =8, (7-(AJ$24-2-$I222))/6*2/3, AJ$24-$I222 =9, (7-(AJ$24-3-$I222))/6*1/3, TRUE, 0) *
IF(ISNUMBER(SEARCH("Ordinance",$L222)),7/6,1) *
IF(OR(ISNUMBER(SEARCH("Melee",$L222)),ISNUMBER(SEARCH("Bypass",$L222))),1.5,1)</f>
        <v>0</v>
      </c>
      <c r="AK222" s="17" cm="1">
        <f t="array" ref="AK222">$H222 *
IF(ISNUMBER(SEARCH("Rapid",$L222)),7/6,1) *
IF(OR(ISNUMBER(SEARCH("Beam",$L222)),ISNUMBER(SEARCH("Firestorm",$L222))),1, IF(ISNUMBER(SEARCH("Blast",$L222)),(4+$G222+(2-$G222)*0.5)/6*2,(4+$G222)/6)) *
_xlfn.IFS(AK$24-$I222 &lt;=1, 5/6, AK$24-$I222 &lt;=5, (7-(AK$24-$I222))/6, AND(AK$24-$I222 =6,NOT(_xlfn.IFNA(ISNUMBER(SEARCH("Rending",$L222)),FALSE))), (7-(AK$24-$I222))/6, AND(AK$24-$I222 &gt;=7,NOT(_xlfn.IFNA(ISNUMBER(SEARCH("Rending",$L222)),FALSE))), 0, AK$24-$I222 =7, (7-(AK$24-1-$I222))/6, AK$24-$I222 =8, (7-(AK$24-2-$I222))/6*2/3, AK$24-$I222 =9, (7-(AK$24-3-$I222))/6*1/3, TRUE, 0) *
IF(ISNUMBER(SEARCH("Ordinance",$L222)),7/6,1) *
IF(OR(ISNUMBER(SEARCH("Melee",$L222)),ISNUMBER(SEARCH("Bypass",$L222))),1.5,1)</f>
        <v>0</v>
      </c>
      <c r="AL222" s="17" cm="1">
        <f t="array" ref="AL222">$H222 *
IF(ISNUMBER(SEARCH("Rapid",$L222)),7/6,1) *
IF(OR(ISNUMBER(SEARCH("Beam",$L222)),ISNUMBER(SEARCH("Firestorm",$L222))),1, IF(ISNUMBER(SEARCH("Blast",$L222)),(4+$G222+(2-$G222)*0.5)/6*2,(4+$G222)/6)) *
_xlfn.IFS(AL$24-$I222 &lt;=1, 5/6, AL$24-$I222 &lt;=5, (7-(AL$24-$I222))/6, AND(AL$24-$I222 =6,NOT(_xlfn.IFNA(ISNUMBER(SEARCH("Rending",$L222)),FALSE))), (7-(AL$24-$I222))/6, AND(AL$24-$I222 &gt;=7,NOT(_xlfn.IFNA(ISNUMBER(SEARCH("Rending",$L222)),FALSE))), 0, AL$24-$I222 =7, (7-(AL$24-1-$I222))/6, AL$24-$I222 =8, (7-(AL$24-2-$I222))/6*2/3, AL$24-$I222 =9, (7-(AL$24-3-$I222))/6*1/3, TRUE, 0) *
IF(ISNUMBER(SEARCH("Ordinance",$L222)),7/6,1) *
IF(OR(ISNUMBER(SEARCH("Melee",$L222)),ISNUMBER(SEARCH("Bypass",$L222))),1.5,1)</f>
        <v>0</v>
      </c>
      <c r="AM222" s="17" cm="1">
        <f t="array" ref="AM222">$H222 *
IF(ISNUMBER(SEARCH("Rapid",$L222)),7/6,1) *
IF(OR(ISNUMBER(SEARCH("Beam",$L222)),ISNUMBER(SEARCH("Firestorm",$L222))),1, IF(ISNUMBER(SEARCH("Blast",$L222)),(4+$G222+(2-$G222)*0.5)/6*2,(4+$G222)/6)) *
_xlfn.IFS(AM$24-$I222 &lt;=1, 5/6, AM$24-$I222 &lt;=5, (7-(AM$24-$I222))/6, AND(AM$24-$I222 =6,NOT(_xlfn.IFNA(ISNUMBER(SEARCH("Rending",$L222)),FALSE))), (7-(AM$24-$I222))/6, AND(AM$24-$I222 &gt;=7,NOT(_xlfn.IFNA(ISNUMBER(SEARCH("Rending",$L222)),FALSE))), 0, AM$24-$I222 =7, (7-(AM$24-1-$I222))/6, AM$24-$I222 =8, (7-(AM$24-2-$I222))/6*2/3, AM$24-$I222 =9, (7-(AM$24-3-$I222))/6*1/3, TRUE, 0) *
IF(ISNUMBER(SEARCH("Ordinance",$L222)),7/6,1) *
IF(OR(ISNUMBER(SEARCH("Melee",$L222)),ISNUMBER(SEARCH("Bypass",$L222))),1.5,1)</f>
        <v>0</v>
      </c>
      <c r="AN222" s="17" cm="1">
        <f t="array" ref="AN222">$H222 *
IF(ISNUMBER(SEARCH("Rapid",$L222)),7/6,1) *
IF(OR(ISNUMBER(SEARCH("Beam",$L222)),ISNUMBER(SEARCH("Firestorm",$L222))),1, IF(ISNUMBER(SEARCH("Blast",$L222)),(4+$G222+(2-$G222)*0.5)/6*2,(4+$G222)/6)) *
_xlfn.IFS(AN$24-$I222 &lt;=1, 5/6, AN$24-$I222 &lt;=5, (7-(AN$24-$I222))/6, AND(AN$24-$I222 =6,NOT(_xlfn.IFNA(ISNUMBER(SEARCH("Rending",$L222)),FALSE))), (7-(AN$24-$I222))/6, AND(AN$24-$I222 &gt;=7,NOT(_xlfn.IFNA(ISNUMBER(SEARCH("Rending",$L222)),FALSE))), 0, AN$24-$I222 =7, (7-(AN$24-1-$I222))/6, AN$24-$I222 =8, (7-(AN$24-2-$I222))/6*2/3, AN$24-$I222 =9, (7-(AN$24-3-$I222))/6*1/3, TRUE, 0) *
IF(ISNUMBER(SEARCH("Ordinance",$L222)),7/6,1) *
IF(OR(ISNUMBER(SEARCH("Melee",$L222)),ISNUMBER(SEARCH("Bypass",$L222))),1.5,1)</f>
        <v>0</v>
      </c>
      <c r="AO222" s="17" cm="1">
        <f t="array" ref="AO222">$H222 *
IF(ISNUMBER(SEARCH("Rapid",$L222)),7/6,1) *
IF(OR(ISNUMBER(SEARCH("Beam",$L222)),ISNUMBER(SEARCH("Firestorm",$L222))),1, IF(ISNUMBER(SEARCH("Blast",$L222)),(4+$G222+(2-$G222)*0.5)/6*2,(4+$G222)/6)) *
_xlfn.IFS(AO$24-$I222 &lt;=1, 5/6, AO$24-$I222 &lt;=5, (7-(AO$24-$I222))/6, AND(AO$24-$I222 =6,NOT(_xlfn.IFNA(ISNUMBER(SEARCH("Rending",$L222)),FALSE))), (7-(AO$24-$I222))/6, AND(AO$24-$I222 &gt;=7,NOT(_xlfn.IFNA(ISNUMBER(SEARCH("Rending",$L222)),FALSE))), 0, AO$24-$I222 =7, (7-(AO$24-1-$I222))/6, AO$24-$I222 =8, (7-(AO$24-2-$I222))/6*2/3, AO$24-$I222 =9, (7-(AO$24-3-$I222))/6*1/3, TRUE, 0) *
IF(ISNUMBER(SEARCH("Ordinance",$L222)),7/6,1) *
IF(OR(ISNUMBER(SEARCH("Melee",$L222)),ISNUMBER(SEARCH("Bypass",$L222))),1.5,1)</f>
        <v>0</v>
      </c>
      <c r="AP222" s="17" cm="1">
        <f t="array" ref="AP222">$H222 *
IF(ISNUMBER(SEARCH("Rapid",$L222)),7/6,1) *
IF(OR(ISNUMBER(SEARCH("Beam",$L222)),ISNUMBER(SEARCH("Firestorm",$L222))),1, IF(ISNUMBER(SEARCH("Blast",$L222)),(4+$G222+(2-$G222)*0.5)/6*2,(4+$G222)/6)) *
_xlfn.IFS(AP$24-$I222 &lt;=1, 5/6, AP$24-$I222 &lt;=5, (7-(AP$24-$I222))/6, AND(AP$24-$I222 =6,NOT(_xlfn.IFNA(ISNUMBER(SEARCH("Rending",$L222)),FALSE))), (7-(AP$24-$I222))/6, AND(AP$24-$I222 &gt;=7,NOT(_xlfn.IFNA(ISNUMBER(SEARCH("Rending",$L222)),FALSE))), 0, AP$24-$I222 =7, (7-(AP$24-1-$I222))/6, AP$24-$I222 =8, (7-(AP$24-2-$I222))/6*2/3, AP$24-$I222 =9, (7-(AP$24-3-$I222))/6*1/3, TRUE, 0) *
IF(ISNUMBER(SEARCH("Ordinance",$L222)),7/6,1) *
IF(OR(ISNUMBER(SEARCH("Melee",$L222)),ISNUMBER(SEARCH("Bypass",$L222))),1.5,1)</f>
        <v>0</v>
      </c>
      <c r="AQ222" s="17" cm="1">
        <f t="array" ref="AQ222">$H222 *
IF(ISNUMBER(SEARCH("Rapid",$L222)),7/6,1) *
IF(OR(ISNUMBER(SEARCH("Beam",$L222)),ISNUMBER(SEARCH("Firestorm",$L222))),1, IF(ISNUMBER(SEARCH("Blast",$L222)),(4+$G222+(2-$G222)*0.5)/6*2,(4+$G222)/6)) *
_xlfn.IFS(AQ$24-$I222 &lt;=1, 5/6, AQ$24-$I222 &lt;=5, (7-(AQ$24-$I222))/6, AND(AQ$24-$I222 =6,NOT(_xlfn.IFNA(ISNUMBER(SEARCH("Rending",$L222)),FALSE))), (7-(AQ$24-$I222))/6, AND(AQ$24-$I222 &gt;=7,NOT(_xlfn.IFNA(ISNUMBER(SEARCH("Rending",$L222)),FALSE))), 0, AQ$24-$I222 =7, (7-(AQ$24-1-$I222))/6, AQ$24-$I222 =8, (7-(AQ$24-2-$I222))/6*2/3, AQ$24-$I222 =9, (7-(AQ$24-3-$I222))/6*1/3, TRUE, 0) *
IF(ISNUMBER(SEARCH("Ordinance",$L222)),7/6,1) *
IF(OR(ISNUMBER(SEARCH("Melee",$L222)),ISNUMBER(SEARCH("Bypass",$L222))),1.5,1)</f>
        <v>0</v>
      </c>
      <c r="AS222" s="16"/>
      <c r="AT222" s="16"/>
      <c r="AU222" s="16"/>
    </row>
    <row r="223" spans="1:48" x14ac:dyDescent="0.3">
      <c r="A223" t="s">
        <v>434</v>
      </c>
      <c r="B223" s="33">
        <v>5</v>
      </c>
      <c r="C223" s="33">
        <v>8</v>
      </c>
      <c r="D223" s="3">
        <v>1</v>
      </c>
      <c r="F223" s="10">
        <v>1</v>
      </c>
      <c r="G223" s="10"/>
      <c r="H223" s="33">
        <v>1</v>
      </c>
      <c r="I223" s="33">
        <v>9</v>
      </c>
      <c r="J223" s="3" t="s">
        <v>601</v>
      </c>
      <c r="K223" s="3">
        <v>20</v>
      </c>
      <c r="L223" s="3" t="s">
        <v>481</v>
      </c>
      <c r="V223" s="16">
        <f t="shared" si="65"/>
        <v>0.27777777777777779</v>
      </c>
      <c r="W223" s="16">
        <f t="shared" si="66"/>
        <v>0.41666666666666669</v>
      </c>
      <c r="X223" s="17" cm="1">
        <f t="array" ref="X223">$H223 *
IF(ISNUMBER(SEARCH("Rapid",$L223)),7/6,1) *
IF(OR(ISNUMBER(SEARCH("Beam",$L223)),ISNUMBER(SEARCH("Firestorm",$L223))),1, IF(ISNUMBER(SEARCH("Blast",$L223)),(4+$F223+(2-$F223)*0.5)/6*2,(4+$F223)/6)) *
IF(ISNUMBER(SEARCH("Fusion",$L223)), _xlfn.IFS(X$24-$I223 &lt;=1, 9/10, X$24-$I223 &lt;=10,(11-(X$24-$I223))/10, X$24-$I223 &gt;=11, 0),
_xlfn.IFS(X$24-$I223 &lt;=1, 5/6, X$24-$I223 &lt;=5, (7-(X$24-$I223))/6, AND(X$24-$I223 =6,NOT(_xlfn.IFNA(ISNUMBER(SEARCH("Rending",$L223)),FALSE))), (7-(X$24-$I223))/6, AND(X$24-$I223 &gt;=7,NOT(_xlfn.IFNA(ISNUMBER(SEARCH("Rending",$L223)),FALSE))), 0, X$24-$I223 =7, (7-(X$24-1-$I223))/6, X$24-$I223 =8, (7-(X$24-2-$I223))/6*2/3, X$24-$I223 =9, (7-(X$24-3-$I223))/6*1/3, TRUE, 0)) *
IF(ISNUMBER(SEARCH("Ordinance",$L223)),7/6,1) *
IF(OR(ISNUMBER(SEARCH("Melee",$L223)),ISNUMBER(SEARCH("Bypass",$L223))),1.5,1)</f>
        <v>0.75</v>
      </c>
      <c r="Y223" s="17" cm="1">
        <f t="array" ref="Y223">$H223 *
IF(ISNUMBER(SEARCH("Rapid",$L223)),7/6,1) *
IF(OR(ISNUMBER(SEARCH("Beam",$L223)),ISNUMBER(SEARCH("Firestorm",$L223))),1, IF(ISNUMBER(SEARCH("Blast",$L223)),(4+$F223+(2-$F223)*0.5)/6*2,(4+$F223)/6)) *
IF(ISNUMBER(SEARCH("Fusion",$L223)), _xlfn.IFS(Y$24-$I223 &lt;=1, 9/10, Y$24-$I223 &lt;=10,(11-(Y$24-$I223))/10, Y$24-$I223 &gt;=11, 0),
_xlfn.IFS(Y$24-$I223 &lt;=1, 5/6, Y$24-$I223 &lt;=5, (7-(Y$24-$I223))/6, AND(Y$24-$I223 =6,NOT(_xlfn.IFNA(ISNUMBER(SEARCH("Rending",$L223)),FALSE))), (7-(Y$24-$I223))/6, AND(Y$24-$I223 &gt;=7,NOT(_xlfn.IFNA(ISNUMBER(SEARCH("Rending",$L223)),FALSE))), 0, Y$24-$I223 =7, (7-(Y$24-1-$I223))/6, Y$24-$I223 =8, (7-(Y$24-2-$I223))/6*2/3, Y$24-$I223 =9, (7-(Y$24-3-$I223))/6*1/3, TRUE, 0)) *
IF(ISNUMBER(SEARCH("Ordinance",$L223)),7/6,1) *
IF(OR(ISNUMBER(SEARCH("Melee",$L223)),ISNUMBER(SEARCH("Bypass",$L223))),1.5,1)</f>
        <v>0.75</v>
      </c>
      <c r="Z223" s="17" cm="1">
        <f t="array" ref="Z223">$H223 *
IF(ISNUMBER(SEARCH("Rapid",$L223)),7/6,1) *
IF(OR(ISNUMBER(SEARCH("Beam",$L223)),ISNUMBER(SEARCH("Firestorm",$L223))),1, IF(ISNUMBER(SEARCH("Blast",$L223)),(4+$F223+(2-$F223)*0.5)/6*2,(4+$F223)/6)) *
IF(ISNUMBER(SEARCH("Fusion",$L223)), _xlfn.IFS(Z$24-$I223 &lt;=1, 9/10, Z$24-$I223 &lt;=10,(11-(Z$24-$I223))/10, Z$24-$I223 &gt;=11, 0),
_xlfn.IFS(Z$24-$I223 &lt;=1, 5/6, Z$24-$I223 &lt;=5, (7-(Z$24-$I223))/6, AND(Z$24-$I223 =6,NOT(_xlfn.IFNA(ISNUMBER(SEARCH("Rending",$L223)),FALSE))), (7-(Z$24-$I223))/6, AND(Z$24-$I223 &gt;=7,NOT(_xlfn.IFNA(ISNUMBER(SEARCH("Rending",$L223)),FALSE))), 0, Z$24-$I223 =7, (7-(Z$24-1-$I223))/6, Z$24-$I223 =8, (7-(Z$24-2-$I223))/6*2/3, Z$24-$I223 =9, (7-(Z$24-3-$I223))/6*1/3, TRUE, 0)) *
IF(ISNUMBER(SEARCH("Ordinance",$L223)),7/6,1) *
IF(OR(ISNUMBER(SEARCH("Melee",$L223)),ISNUMBER(SEARCH("Bypass",$L223))),1.5,1)</f>
        <v>0.75</v>
      </c>
      <c r="AA223" s="17" cm="1">
        <f t="array" ref="AA223">$H223 *
IF(ISNUMBER(SEARCH("Rapid",$L223)),7/6,1) *
IF(OR(ISNUMBER(SEARCH("Beam",$L223)),ISNUMBER(SEARCH("Firestorm",$L223))),1, IF(ISNUMBER(SEARCH("Blast",$L223)),(4+$F223+(2-$F223)*0.5)/6*2,(4+$F223)/6)) *
IF(ISNUMBER(SEARCH("Fusion",$L223)), _xlfn.IFS(AA$24-$I223 &lt;=1, 9/10, AA$24-$I223 &lt;=10,(11-(AA$24-$I223))/10, AA$24-$I223 &gt;=11, 0),
_xlfn.IFS(AA$24-$I223 &lt;=1, 5/6, AA$24-$I223 &lt;=5, (7-(AA$24-$I223))/6, AND(AA$24-$I223 =6,NOT(_xlfn.IFNA(ISNUMBER(SEARCH("Rending",$L223)),FALSE))), (7-(AA$24-$I223))/6, AND(AA$24-$I223 &gt;=7,NOT(_xlfn.IFNA(ISNUMBER(SEARCH("Rending",$L223)),FALSE))), 0, AA$24-$I223 =7, (7-(AA$24-1-$I223))/6, AA$24-$I223 =8, (7-(AA$24-2-$I223))/6*2/3, AA$24-$I223 =9, (7-(AA$24-3-$I223))/6*1/3, TRUE, 0)) *
IF(ISNUMBER(SEARCH("Ordinance",$L223)),7/6,1) *
IF(OR(ISNUMBER(SEARCH("Melee",$L223)),ISNUMBER(SEARCH("Bypass",$L223))),1.5,1)</f>
        <v>0.66666666666666674</v>
      </c>
      <c r="AB223" s="17" cm="1">
        <f t="array" ref="AB223">$H223 *
IF(ISNUMBER(SEARCH("Rapid",$L223)),7/6,1) *
IF(OR(ISNUMBER(SEARCH("Beam",$L223)),ISNUMBER(SEARCH("Firestorm",$L223))),1, IF(ISNUMBER(SEARCH("Blast",$L223)),(4+$F223+(2-$F223)*0.5)/6*2,(4+$F223)/6)) *
IF(ISNUMBER(SEARCH("Fusion",$L223)), _xlfn.IFS(AB$24-$I223 &lt;=1, 9/10, AB$24-$I223 &lt;=10,(11-(AB$24-$I223))/10, AB$24-$I223 &gt;=11, 0),
_xlfn.IFS(AB$24-$I223 &lt;=1, 5/6, AB$24-$I223 &lt;=5, (7-(AB$24-$I223))/6, AND(AB$24-$I223 =6,NOT(_xlfn.IFNA(ISNUMBER(SEARCH("Rending",$L223)),FALSE))), (7-(AB$24-$I223))/6, AND(AB$24-$I223 &gt;=7,NOT(_xlfn.IFNA(ISNUMBER(SEARCH("Rending",$L223)),FALSE))), 0, AB$24-$I223 =7, (7-(AB$24-1-$I223))/6, AB$24-$I223 =8, (7-(AB$24-2-$I223))/6*2/3, AB$24-$I223 =9, (7-(AB$24-3-$I223))/6*1/3, TRUE, 0)) *
IF(ISNUMBER(SEARCH("Ordinance",$L223)),7/6,1) *
IF(OR(ISNUMBER(SEARCH("Melee",$L223)),ISNUMBER(SEARCH("Bypass",$L223))),1.5,1)</f>
        <v>0.58333333333333337</v>
      </c>
      <c r="AC223" s="17" cm="1">
        <f t="array" ref="AC223">$H223 *
IF(ISNUMBER(SEARCH("Rapid",$L223)),7/6,1) *
IF(OR(ISNUMBER(SEARCH("Beam",$L223)),ISNUMBER(SEARCH("Firestorm",$L223))),1, IF(ISNUMBER(SEARCH("Blast",$L223)),(4+$F223+(2-$F223)*0.5)/6*2,(4+$F223)/6)) *
IF(ISNUMBER(SEARCH("Fusion",$L223)), _xlfn.IFS(AC$24-$I223 &lt;=1, 9/10, AC$24-$I223 &lt;=10,(11-(AC$24-$I223))/10, AC$24-$I223 &gt;=11, 0),
_xlfn.IFS(AC$24-$I223 &lt;=1, 5/6, AC$24-$I223 &lt;=5, (7-(AC$24-$I223))/6, AND(AC$24-$I223 =6,NOT(_xlfn.IFNA(ISNUMBER(SEARCH("Rending",$L223)),FALSE))), (7-(AC$24-$I223))/6, AND(AC$24-$I223 &gt;=7,NOT(_xlfn.IFNA(ISNUMBER(SEARCH("Rending",$L223)),FALSE))), 0, AC$24-$I223 =7, (7-(AC$24-1-$I223))/6, AC$24-$I223 =8, (7-(AC$24-2-$I223))/6*2/3, AC$24-$I223 =9, (7-(AC$24-3-$I223))/6*1/3, TRUE, 0)) *
IF(ISNUMBER(SEARCH("Ordinance",$L223)),7/6,1) *
IF(OR(ISNUMBER(SEARCH("Melee",$L223)),ISNUMBER(SEARCH("Bypass",$L223))),1.5,1)</f>
        <v>0.5</v>
      </c>
      <c r="AD223" s="17" cm="1">
        <f t="array" ref="AD223">$H223 *
IF(ISNUMBER(SEARCH("Rapid",$L223)),7/6,1) *
IF(OR(ISNUMBER(SEARCH("Beam",$L223)),ISNUMBER(SEARCH("Firestorm",$L223))),1, IF(ISNUMBER(SEARCH("Blast",$L223)),(4+$F223+(2-$F223)*0.5)/6*2,(4+$F223)/6)) *
IF(ISNUMBER(SEARCH("Fusion",$L223)), _xlfn.IFS(AD$24-$I223 &lt;=1, 9/10, AD$24-$I223 &lt;=10,(11-(AD$24-$I223))/10, AD$24-$I223 &gt;=11, 0),
_xlfn.IFS(AD$24-$I223 &lt;=1, 5/6, AD$24-$I223 &lt;=5, (7-(AD$24-$I223))/6, AND(AD$24-$I223 =6,NOT(_xlfn.IFNA(ISNUMBER(SEARCH("Rending",$L223)),FALSE))), (7-(AD$24-$I223))/6, AND(AD$24-$I223 &gt;=7,NOT(_xlfn.IFNA(ISNUMBER(SEARCH("Rending",$L223)),FALSE))), 0, AD$24-$I223 =7, (7-(AD$24-1-$I223))/6, AD$24-$I223 =8, (7-(AD$24-2-$I223))/6*2/3, AD$24-$I223 =9, (7-(AD$24-3-$I223))/6*1/3, TRUE, 0)) *
IF(ISNUMBER(SEARCH("Ordinance",$L223)),7/6,1) *
IF(OR(ISNUMBER(SEARCH("Melee",$L223)),ISNUMBER(SEARCH("Bypass",$L223))),1.5,1)</f>
        <v>0.41666666666666669</v>
      </c>
      <c r="AE223" s="17" cm="1">
        <f t="array" ref="AE223">$H223 *
IF(ISNUMBER(SEARCH("Rapid",$L223)),7/6,1) *
IF(OR(ISNUMBER(SEARCH("Beam",$L223)),ISNUMBER(SEARCH("Firestorm",$L223))),1, IF(ISNUMBER(SEARCH("Blast",$L223)),(4+$F223+(2-$F223)*0.5)/6*2,(4+$F223)/6)) *
IF(ISNUMBER(SEARCH("Fusion",$L223)), _xlfn.IFS(AE$24-$I223 &lt;=1, 9/10, AE$24-$I223 &lt;=10,(11-(AE$24-$I223))/10, AE$24-$I223 &gt;=11, 0),
_xlfn.IFS(AE$24-$I223 &lt;=1, 5/6, AE$24-$I223 &lt;=5, (7-(AE$24-$I223))/6, AND(AE$24-$I223 =6,NOT(_xlfn.IFNA(ISNUMBER(SEARCH("Rending",$L223)),FALSE))), (7-(AE$24-$I223))/6, AND(AE$24-$I223 &gt;=7,NOT(_xlfn.IFNA(ISNUMBER(SEARCH("Rending",$L223)),FALSE))), 0, AE$24-$I223 =7, (7-(AE$24-1-$I223))/6, AE$24-$I223 =8, (7-(AE$24-2-$I223))/6*2/3, AE$24-$I223 =9, (7-(AE$24-3-$I223))/6*1/3, TRUE, 0)) *
IF(ISNUMBER(SEARCH("Ordinance",$L223)),7/6,1) *
IF(OR(ISNUMBER(SEARCH("Melee",$L223)),ISNUMBER(SEARCH("Bypass",$L223))),1.5,1)</f>
        <v>0.33333333333333337</v>
      </c>
      <c r="AF223" s="17" cm="1">
        <f t="array" ref="AF223">$H223 *
IF(ISNUMBER(SEARCH("Rapid",$L223)),7/6,1) *
IF(OR(ISNUMBER(SEARCH("Beam",$L223)),ISNUMBER(SEARCH("Firestorm",$L223))),1, IF(ISNUMBER(SEARCH("Blast",$L223)),(4+$F223+(2-$F223)*0.5)/6*2,(4+$F223)/6)) *
IF(ISNUMBER(SEARCH("Fusion",$L223)), _xlfn.IFS(AF$24-$I223 &lt;=1, 9/10, AF$24-$I223 &lt;=10,(11-(AF$24-$I223))/10, AF$24-$I223 &gt;=11, 0),
_xlfn.IFS(AF$24-$I223 &lt;=1, 5/6, AF$24-$I223 &lt;=5, (7-(AF$24-$I223))/6, AND(AF$24-$I223 =6,NOT(_xlfn.IFNA(ISNUMBER(SEARCH("Rending",$L223)),FALSE))), (7-(AF$24-$I223))/6, AND(AF$24-$I223 &gt;=7,NOT(_xlfn.IFNA(ISNUMBER(SEARCH("Rending",$L223)),FALSE))), 0, AF$24-$I223 =7, (7-(AF$24-1-$I223))/6, AF$24-$I223 =8, (7-(AF$24-2-$I223))/6*2/3, AF$24-$I223 =9, (7-(AF$24-3-$I223))/6*1/3, TRUE, 0)) *
IF(ISNUMBER(SEARCH("Ordinance",$L223)),7/6,1) *
IF(OR(ISNUMBER(SEARCH("Melee",$L223)),ISNUMBER(SEARCH("Bypass",$L223))),1.5,1)</f>
        <v>0.25</v>
      </c>
      <c r="AG223" s="16">
        <f t="shared" si="67"/>
        <v>0.22222222222222221</v>
      </c>
      <c r="AH223" s="16">
        <f t="shared" si="68"/>
        <v>0.33333333333333331</v>
      </c>
      <c r="AI223" s="17" cm="1">
        <f t="array" ref="AI223">$H223 *
IF(ISNUMBER(SEARCH("Rapid",$L223)),7/6,1) *
IF(OR(ISNUMBER(SEARCH("Beam",$L223)),ISNUMBER(SEARCH("Firestorm",$L223))),1, IF(ISNUMBER(SEARCH("Blast",$L223)),(4+$G223+(2-$G223)*0.5)/6*2,(4+$G223)/6)) *
_xlfn.IFS(AI$24-$I223 &lt;=1, 5/6, AI$24-$I223 &lt;=5, (7-(AI$24-$I223))/6, AND(AI$24-$I223 =6,NOT(_xlfn.IFNA(ISNUMBER(SEARCH("Rending",$L223)),FALSE))), (7-(AI$24-$I223))/6, AND(AI$24-$I223 &gt;=7,NOT(_xlfn.IFNA(ISNUMBER(SEARCH("Rending",$L223)),FALSE))), 0, AI$24-$I223 =7, (7-(AI$24-1-$I223))/6, AI$24-$I223 =8, (7-(AI$24-2-$I223))/6*2/3, AI$24-$I223 =9, (7-(AI$24-3-$I223))/6*1/3, TRUE, 0) *
IF(ISNUMBER(SEARCH("Ordinance",$L223)),7/6,1) *
IF(OR(ISNUMBER(SEARCH("Melee",$L223)),ISNUMBER(SEARCH("Bypass",$L223))),1.5,1)</f>
        <v>0.55555555555555558</v>
      </c>
      <c r="AJ223" s="17" cm="1">
        <f t="array" ref="AJ223">$H223 *
IF(ISNUMBER(SEARCH("Rapid",$L223)),7/6,1) *
IF(OR(ISNUMBER(SEARCH("Beam",$L223)),ISNUMBER(SEARCH("Firestorm",$L223))),1, IF(ISNUMBER(SEARCH("Blast",$L223)),(4+$G223+(2-$G223)*0.5)/6*2,(4+$G223)/6)) *
_xlfn.IFS(AJ$24-$I223 &lt;=1, 5/6, AJ$24-$I223 &lt;=5, (7-(AJ$24-$I223))/6, AND(AJ$24-$I223 =6,NOT(_xlfn.IFNA(ISNUMBER(SEARCH("Rending",$L223)),FALSE))), (7-(AJ$24-$I223))/6, AND(AJ$24-$I223 &gt;=7,NOT(_xlfn.IFNA(ISNUMBER(SEARCH("Rending",$L223)),FALSE))), 0, AJ$24-$I223 =7, (7-(AJ$24-1-$I223))/6, AJ$24-$I223 =8, (7-(AJ$24-2-$I223))/6*2/3, AJ$24-$I223 =9, (7-(AJ$24-3-$I223))/6*1/3, TRUE, 0) *
IF(ISNUMBER(SEARCH("Ordinance",$L223)),7/6,1) *
IF(OR(ISNUMBER(SEARCH("Melee",$L223)),ISNUMBER(SEARCH("Bypass",$L223))),1.5,1)</f>
        <v>0.55555555555555558</v>
      </c>
      <c r="AK223" s="17" cm="1">
        <f t="array" ref="AK223">$H223 *
IF(ISNUMBER(SEARCH("Rapid",$L223)),7/6,1) *
IF(OR(ISNUMBER(SEARCH("Beam",$L223)),ISNUMBER(SEARCH("Firestorm",$L223))),1, IF(ISNUMBER(SEARCH("Blast",$L223)),(4+$G223+(2-$G223)*0.5)/6*2,(4+$G223)/6)) *
_xlfn.IFS(AK$24-$I223 &lt;=1, 5/6, AK$24-$I223 &lt;=5, (7-(AK$24-$I223))/6, AND(AK$24-$I223 =6,NOT(_xlfn.IFNA(ISNUMBER(SEARCH("Rending",$L223)),FALSE))), (7-(AK$24-$I223))/6, AND(AK$24-$I223 &gt;=7,NOT(_xlfn.IFNA(ISNUMBER(SEARCH("Rending",$L223)),FALSE))), 0, AK$24-$I223 =7, (7-(AK$24-1-$I223))/6, AK$24-$I223 =8, (7-(AK$24-2-$I223))/6*2/3, AK$24-$I223 =9, (7-(AK$24-3-$I223))/6*1/3, TRUE, 0) *
IF(ISNUMBER(SEARCH("Ordinance",$L223)),7/6,1) *
IF(OR(ISNUMBER(SEARCH("Melee",$L223)),ISNUMBER(SEARCH("Bypass",$L223))),1.5,1)</f>
        <v>0.55555555555555558</v>
      </c>
      <c r="AL223" s="17" cm="1">
        <f t="array" ref="AL223">$H223 *
IF(ISNUMBER(SEARCH("Rapid",$L223)),7/6,1) *
IF(OR(ISNUMBER(SEARCH("Beam",$L223)),ISNUMBER(SEARCH("Firestorm",$L223))),1, IF(ISNUMBER(SEARCH("Blast",$L223)),(4+$G223+(2-$G223)*0.5)/6*2,(4+$G223)/6)) *
_xlfn.IFS(AL$24-$I223 &lt;=1, 5/6, AL$24-$I223 &lt;=5, (7-(AL$24-$I223))/6, AND(AL$24-$I223 =6,NOT(_xlfn.IFNA(ISNUMBER(SEARCH("Rending",$L223)),FALSE))), (7-(AL$24-$I223))/6, AND(AL$24-$I223 &gt;=7,NOT(_xlfn.IFNA(ISNUMBER(SEARCH("Rending",$L223)),FALSE))), 0, AL$24-$I223 =7, (7-(AL$24-1-$I223))/6, AL$24-$I223 =8, (7-(AL$24-2-$I223))/6*2/3, AL$24-$I223 =9, (7-(AL$24-3-$I223))/6*1/3, TRUE, 0) *
IF(ISNUMBER(SEARCH("Ordinance",$L223)),7/6,1) *
IF(OR(ISNUMBER(SEARCH("Melee",$L223)),ISNUMBER(SEARCH("Bypass",$L223))),1.5,1)</f>
        <v>0.44444444444444442</v>
      </c>
      <c r="AM223" s="17" cm="1">
        <f t="array" ref="AM223">$H223 *
IF(ISNUMBER(SEARCH("Rapid",$L223)),7/6,1) *
IF(OR(ISNUMBER(SEARCH("Beam",$L223)),ISNUMBER(SEARCH("Firestorm",$L223))),1, IF(ISNUMBER(SEARCH("Blast",$L223)),(4+$G223+(2-$G223)*0.5)/6*2,(4+$G223)/6)) *
_xlfn.IFS(AM$24-$I223 &lt;=1, 5/6, AM$24-$I223 &lt;=5, (7-(AM$24-$I223))/6, AND(AM$24-$I223 =6,NOT(_xlfn.IFNA(ISNUMBER(SEARCH("Rending",$L223)),FALSE))), (7-(AM$24-$I223))/6, AND(AM$24-$I223 &gt;=7,NOT(_xlfn.IFNA(ISNUMBER(SEARCH("Rending",$L223)),FALSE))), 0, AM$24-$I223 =7, (7-(AM$24-1-$I223))/6, AM$24-$I223 =8, (7-(AM$24-2-$I223))/6*2/3, AM$24-$I223 =9, (7-(AM$24-3-$I223))/6*1/3, TRUE, 0) *
IF(ISNUMBER(SEARCH("Ordinance",$L223)),7/6,1) *
IF(OR(ISNUMBER(SEARCH("Melee",$L223)),ISNUMBER(SEARCH("Bypass",$L223))),1.5,1)</f>
        <v>0.33333333333333331</v>
      </c>
      <c r="AN223" s="17" cm="1">
        <f t="array" ref="AN223">$H223 *
IF(ISNUMBER(SEARCH("Rapid",$L223)),7/6,1) *
IF(OR(ISNUMBER(SEARCH("Beam",$L223)),ISNUMBER(SEARCH("Firestorm",$L223))),1, IF(ISNUMBER(SEARCH("Blast",$L223)),(4+$G223+(2-$G223)*0.5)/6*2,(4+$G223)/6)) *
_xlfn.IFS(AN$24-$I223 &lt;=1, 5/6, AN$24-$I223 &lt;=5, (7-(AN$24-$I223))/6, AND(AN$24-$I223 =6,NOT(_xlfn.IFNA(ISNUMBER(SEARCH("Rending",$L223)),FALSE))), (7-(AN$24-$I223))/6, AND(AN$24-$I223 &gt;=7,NOT(_xlfn.IFNA(ISNUMBER(SEARCH("Rending",$L223)),FALSE))), 0, AN$24-$I223 =7, (7-(AN$24-1-$I223))/6, AN$24-$I223 =8, (7-(AN$24-2-$I223))/6*2/3, AN$24-$I223 =9, (7-(AN$24-3-$I223))/6*1/3, TRUE, 0) *
IF(ISNUMBER(SEARCH("Ordinance",$L223)),7/6,1) *
IF(OR(ISNUMBER(SEARCH("Melee",$L223)),ISNUMBER(SEARCH("Bypass",$L223))),1.5,1)</f>
        <v>0.22222222222222221</v>
      </c>
      <c r="AO223" s="17" cm="1">
        <f t="array" ref="AO223">$H223 *
IF(ISNUMBER(SEARCH("Rapid",$L223)),7/6,1) *
IF(OR(ISNUMBER(SEARCH("Beam",$L223)),ISNUMBER(SEARCH("Firestorm",$L223))),1, IF(ISNUMBER(SEARCH("Blast",$L223)),(4+$G223+(2-$G223)*0.5)/6*2,(4+$G223)/6)) *
_xlfn.IFS(AO$24-$I223 &lt;=1, 5/6, AO$24-$I223 &lt;=5, (7-(AO$24-$I223))/6, AND(AO$24-$I223 =6,NOT(_xlfn.IFNA(ISNUMBER(SEARCH("Rending",$L223)),FALSE))), (7-(AO$24-$I223))/6, AND(AO$24-$I223 &gt;=7,NOT(_xlfn.IFNA(ISNUMBER(SEARCH("Rending",$L223)),FALSE))), 0, AO$24-$I223 =7, (7-(AO$24-1-$I223))/6, AO$24-$I223 =8, (7-(AO$24-2-$I223))/6*2/3, AO$24-$I223 =9, (7-(AO$24-3-$I223))/6*1/3, TRUE, 0) *
IF(ISNUMBER(SEARCH("Ordinance",$L223)),7/6,1) *
IF(OR(ISNUMBER(SEARCH("Melee",$L223)),ISNUMBER(SEARCH("Bypass",$L223))),1.5,1)</f>
        <v>0.1111111111111111</v>
      </c>
      <c r="AP223" s="17" cm="1">
        <f t="array" ref="AP223">$H223 *
IF(ISNUMBER(SEARCH("Rapid",$L223)),7/6,1) *
IF(OR(ISNUMBER(SEARCH("Beam",$L223)),ISNUMBER(SEARCH("Firestorm",$L223))),1, IF(ISNUMBER(SEARCH("Blast",$L223)),(4+$G223+(2-$G223)*0.5)/6*2,(4+$G223)/6)) *
_xlfn.IFS(AP$24-$I223 &lt;=1, 5/6, AP$24-$I223 &lt;=5, (7-(AP$24-$I223))/6, AND(AP$24-$I223 =6,NOT(_xlfn.IFNA(ISNUMBER(SEARCH("Rending",$L223)),FALSE))), (7-(AP$24-$I223))/6, AND(AP$24-$I223 &gt;=7,NOT(_xlfn.IFNA(ISNUMBER(SEARCH("Rending",$L223)),FALSE))), 0, AP$24-$I223 =7, (7-(AP$24-1-$I223))/6, AP$24-$I223 =8, (7-(AP$24-2-$I223))/6*2/3, AP$24-$I223 =9, (7-(AP$24-3-$I223))/6*1/3, TRUE, 0) *
IF(ISNUMBER(SEARCH("Ordinance",$L223)),7/6,1) *
IF(OR(ISNUMBER(SEARCH("Melee",$L223)),ISNUMBER(SEARCH("Bypass",$L223))),1.5,1)</f>
        <v>0</v>
      </c>
      <c r="AQ223" s="17" cm="1">
        <f t="array" ref="AQ223">$H223 *
IF(ISNUMBER(SEARCH("Rapid",$L223)),7/6,1) *
IF(OR(ISNUMBER(SEARCH("Beam",$L223)),ISNUMBER(SEARCH("Firestorm",$L223))),1, IF(ISNUMBER(SEARCH("Blast",$L223)),(4+$G223+(2-$G223)*0.5)/6*2,(4+$G223)/6)) *
_xlfn.IFS(AQ$24-$I223 &lt;=1, 5/6, AQ$24-$I223 &lt;=5, (7-(AQ$24-$I223))/6, AND(AQ$24-$I223 =6,NOT(_xlfn.IFNA(ISNUMBER(SEARCH("Rending",$L223)),FALSE))), (7-(AQ$24-$I223))/6, AND(AQ$24-$I223 &gt;=7,NOT(_xlfn.IFNA(ISNUMBER(SEARCH("Rending",$L223)),FALSE))), 0, AQ$24-$I223 =7, (7-(AQ$24-1-$I223))/6, AQ$24-$I223 =8, (7-(AQ$24-2-$I223))/6*2/3, AQ$24-$I223 =9, (7-(AQ$24-3-$I223))/6*1/3, TRUE, 0) *
IF(ISNUMBER(SEARCH("Ordinance",$L223)),7/6,1) *
IF(OR(ISNUMBER(SEARCH("Melee",$L223)),ISNUMBER(SEARCH("Bypass",$L223))),1.5,1)</f>
        <v>0</v>
      </c>
      <c r="AS223" s="16">
        <f t="shared" si="71"/>
        <v>8.1481481481481488E-2</v>
      </c>
      <c r="AT223" s="16">
        <f t="shared" si="71"/>
        <v>0.12222222222222223</v>
      </c>
      <c r="AU223" s="16">
        <f>IF(D223+E223=3,
 IF(E223=3, 2.5*AI223,
  IF(E223=2, 1.8*AI223+0.7*X223,
   IF(E223=1, 0.95*AI223+1.55*X223,
    2.5*X223))),
 IF(D223+E223=2,
  IF(E223=2, 1.55*AI223,
   IF(E223 =1, 0.85*AI223+0.7*X223,
    1.55*X223)),
  IF(E223=1, 0.95*AI223,
   0.7*X223))
)/3</f>
        <v>0.17499999999999996</v>
      </c>
      <c r="AV223" s="2">
        <v>10</v>
      </c>
    </row>
    <row r="224" spans="1:48" x14ac:dyDescent="0.3">
      <c r="F224" s="10"/>
      <c r="G224" s="10"/>
      <c r="V224" s="16">
        <f t="shared" si="65"/>
        <v>0</v>
      </c>
      <c r="W224" s="16">
        <f t="shared" si="66"/>
        <v>0</v>
      </c>
      <c r="X224" s="17" cm="1">
        <f t="array" ref="X224">$H224 *
IF(ISNUMBER(SEARCH("Rapid",$L224)),7/6,1) *
IF(OR(ISNUMBER(SEARCH("Beam",$L224)),ISNUMBER(SEARCH("Firestorm",$L224))),1, IF(ISNUMBER(SEARCH("Blast",$L224)),(4+$F224+(2-$F224)*0.5)/6*2,(4+$F224)/6)) *
IF(ISNUMBER(SEARCH("Fusion",$L224)), _xlfn.IFS(X$24-$I224 &lt;=1, 9/10, X$24-$I224 &lt;=10,(11-(X$24-$I224))/10, X$24-$I224 &gt;=11, 0),
_xlfn.IFS(X$24-$I224 &lt;=1, 5/6, X$24-$I224 &lt;=5, (7-(X$24-$I224))/6, AND(X$24-$I224 =6,NOT(_xlfn.IFNA(ISNUMBER(SEARCH("Rending",$L224)),FALSE))), (7-(X$24-$I224))/6, AND(X$24-$I224 &gt;=7,NOT(_xlfn.IFNA(ISNUMBER(SEARCH("Rending",$L224)),FALSE))), 0, X$24-$I224 =7, (7-(X$24-1-$I224))/6, X$24-$I224 =8, (7-(X$24-2-$I224))/6*2/3, X$24-$I224 =9, (7-(X$24-3-$I224))/6*1/3, TRUE, 0)) *
IF(ISNUMBER(SEARCH("Ordinance",$L224)),7/6,1) *
IF(OR(ISNUMBER(SEARCH("Melee",$L224)),ISNUMBER(SEARCH("Bypass",$L224))),1.5,1)</f>
        <v>0</v>
      </c>
      <c r="Y224" s="17" cm="1">
        <f t="array" ref="Y224">$H224 *
IF(ISNUMBER(SEARCH("Rapid",$L224)),7/6,1) *
IF(OR(ISNUMBER(SEARCH("Beam",$L224)),ISNUMBER(SEARCH("Firestorm",$L224))),1, IF(ISNUMBER(SEARCH("Blast",$L224)),(4+$F224+(2-$F224)*0.5)/6*2,(4+$F224)/6)) *
IF(ISNUMBER(SEARCH("Fusion",$L224)), _xlfn.IFS(Y$24-$I224 &lt;=1, 9/10, Y$24-$I224 &lt;=10,(11-(Y$24-$I224))/10, Y$24-$I224 &gt;=11, 0),
_xlfn.IFS(Y$24-$I224 &lt;=1, 5/6, Y$24-$I224 &lt;=5, (7-(Y$24-$I224))/6, AND(Y$24-$I224 =6,NOT(_xlfn.IFNA(ISNUMBER(SEARCH("Rending",$L224)),FALSE))), (7-(Y$24-$I224))/6, AND(Y$24-$I224 &gt;=7,NOT(_xlfn.IFNA(ISNUMBER(SEARCH("Rending",$L224)),FALSE))), 0, Y$24-$I224 =7, (7-(Y$24-1-$I224))/6, Y$24-$I224 =8, (7-(Y$24-2-$I224))/6*2/3, Y$24-$I224 =9, (7-(Y$24-3-$I224))/6*1/3, TRUE, 0)) *
IF(ISNUMBER(SEARCH("Ordinance",$L224)),7/6,1) *
IF(OR(ISNUMBER(SEARCH("Melee",$L224)),ISNUMBER(SEARCH("Bypass",$L224))),1.5,1)</f>
        <v>0</v>
      </c>
      <c r="Z224" s="17" cm="1">
        <f t="array" ref="Z224">$H224 *
IF(ISNUMBER(SEARCH("Rapid",$L224)),7/6,1) *
IF(OR(ISNUMBER(SEARCH("Beam",$L224)),ISNUMBER(SEARCH("Firestorm",$L224))),1, IF(ISNUMBER(SEARCH("Blast",$L224)),(4+$F224+(2-$F224)*0.5)/6*2,(4+$F224)/6)) *
IF(ISNUMBER(SEARCH("Fusion",$L224)), _xlfn.IFS(Z$24-$I224 &lt;=1, 9/10, Z$24-$I224 &lt;=10,(11-(Z$24-$I224))/10, Z$24-$I224 &gt;=11, 0),
_xlfn.IFS(Z$24-$I224 &lt;=1, 5/6, Z$24-$I224 &lt;=5, (7-(Z$24-$I224))/6, AND(Z$24-$I224 =6,NOT(_xlfn.IFNA(ISNUMBER(SEARCH("Rending",$L224)),FALSE))), (7-(Z$24-$I224))/6, AND(Z$24-$I224 &gt;=7,NOT(_xlfn.IFNA(ISNUMBER(SEARCH("Rending",$L224)),FALSE))), 0, Z$24-$I224 =7, (7-(Z$24-1-$I224))/6, Z$24-$I224 =8, (7-(Z$24-2-$I224))/6*2/3, Z$24-$I224 =9, (7-(Z$24-3-$I224))/6*1/3, TRUE, 0)) *
IF(ISNUMBER(SEARCH("Ordinance",$L224)),7/6,1) *
IF(OR(ISNUMBER(SEARCH("Melee",$L224)),ISNUMBER(SEARCH("Bypass",$L224))),1.5,1)</f>
        <v>0</v>
      </c>
      <c r="AA224" s="17" cm="1">
        <f t="array" ref="AA224">$H224 *
IF(ISNUMBER(SEARCH("Rapid",$L224)),7/6,1) *
IF(OR(ISNUMBER(SEARCH("Beam",$L224)),ISNUMBER(SEARCH("Firestorm",$L224))),1, IF(ISNUMBER(SEARCH("Blast",$L224)),(4+$F224+(2-$F224)*0.5)/6*2,(4+$F224)/6)) *
IF(ISNUMBER(SEARCH("Fusion",$L224)), _xlfn.IFS(AA$24-$I224 &lt;=1, 9/10, AA$24-$I224 &lt;=10,(11-(AA$24-$I224))/10, AA$24-$I224 &gt;=11, 0),
_xlfn.IFS(AA$24-$I224 &lt;=1, 5/6, AA$24-$I224 &lt;=5, (7-(AA$24-$I224))/6, AND(AA$24-$I224 =6,NOT(_xlfn.IFNA(ISNUMBER(SEARCH("Rending",$L224)),FALSE))), (7-(AA$24-$I224))/6, AND(AA$24-$I224 &gt;=7,NOT(_xlfn.IFNA(ISNUMBER(SEARCH("Rending",$L224)),FALSE))), 0, AA$24-$I224 =7, (7-(AA$24-1-$I224))/6, AA$24-$I224 =8, (7-(AA$24-2-$I224))/6*2/3, AA$24-$I224 =9, (7-(AA$24-3-$I224))/6*1/3, TRUE, 0)) *
IF(ISNUMBER(SEARCH("Ordinance",$L224)),7/6,1) *
IF(OR(ISNUMBER(SEARCH("Melee",$L224)),ISNUMBER(SEARCH("Bypass",$L224))),1.5,1)</f>
        <v>0</v>
      </c>
      <c r="AB224" s="17" cm="1">
        <f t="array" ref="AB224">$H224 *
IF(ISNUMBER(SEARCH("Rapid",$L224)),7/6,1) *
IF(OR(ISNUMBER(SEARCH("Beam",$L224)),ISNUMBER(SEARCH("Firestorm",$L224))),1, IF(ISNUMBER(SEARCH("Blast",$L224)),(4+$F224+(2-$F224)*0.5)/6*2,(4+$F224)/6)) *
IF(ISNUMBER(SEARCH("Fusion",$L224)), _xlfn.IFS(AB$24-$I224 &lt;=1, 9/10, AB$24-$I224 &lt;=10,(11-(AB$24-$I224))/10, AB$24-$I224 &gt;=11, 0),
_xlfn.IFS(AB$24-$I224 &lt;=1, 5/6, AB$24-$I224 &lt;=5, (7-(AB$24-$I224))/6, AND(AB$24-$I224 =6,NOT(_xlfn.IFNA(ISNUMBER(SEARCH("Rending",$L224)),FALSE))), (7-(AB$24-$I224))/6, AND(AB$24-$I224 &gt;=7,NOT(_xlfn.IFNA(ISNUMBER(SEARCH("Rending",$L224)),FALSE))), 0, AB$24-$I224 =7, (7-(AB$24-1-$I224))/6, AB$24-$I224 =8, (7-(AB$24-2-$I224))/6*2/3, AB$24-$I224 =9, (7-(AB$24-3-$I224))/6*1/3, TRUE, 0)) *
IF(ISNUMBER(SEARCH("Ordinance",$L224)),7/6,1) *
IF(OR(ISNUMBER(SEARCH("Melee",$L224)),ISNUMBER(SEARCH("Bypass",$L224))),1.5,1)</f>
        <v>0</v>
      </c>
      <c r="AC224" s="17" cm="1">
        <f t="array" ref="AC224">$H224 *
IF(ISNUMBER(SEARCH("Rapid",$L224)),7/6,1) *
IF(OR(ISNUMBER(SEARCH("Beam",$L224)),ISNUMBER(SEARCH("Firestorm",$L224))),1, IF(ISNUMBER(SEARCH("Blast",$L224)),(4+$F224+(2-$F224)*0.5)/6*2,(4+$F224)/6)) *
IF(ISNUMBER(SEARCH("Fusion",$L224)), _xlfn.IFS(AC$24-$I224 &lt;=1, 9/10, AC$24-$I224 &lt;=10,(11-(AC$24-$I224))/10, AC$24-$I224 &gt;=11, 0),
_xlfn.IFS(AC$24-$I224 &lt;=1, 5/6, AC$24-$I224 &lt;=5, (7-(AC$24-$I224))/6, AND(AC$24-$I224 =6,NOT(_xlfn.IFNA(ISNUMBER(SEARCH("Rending",$L224)),FALSE))), (7-(AC$24-$I224))/6, AND(AC$24-$I224 &gt;=7,NOT(_xlfn.IFNA(ISNUMBER(SEARCH("Rending",$L224)),FALSE))), 0, AC$24-$I224 =7, (7-(AC$24-1-$I224))/6, AC$24-$I224 =8, (7-(AC$24-2-$I224))/6*2/3, AC$24-$I224 =9, (7-(AC$24-3-$I224))/6*1/3, TRUE, 0)) *
IF(ISNUMBER(SEARCH("Ordinance",$L224)),7/6,1) *
IF(OR(ISNUMBER(SEARCH("Melee",$L224)),ISNUMBER(SEARCH("Bypass",$L224))),1.5,1)</f>
        <v>0</v>
      </c>
      <c r="AD224" s="17" cm="1">
        <f t="array" ref="AD224">$H224 *
IF(ISNUMBER(SEARCH("Rapid",$L224)),7/6,1) *
IF(OR(ISNUMBER(SEARCH("Beam",$L224)),ISNUMBER(SEARCH("Firestorm",$L224))),1, IF(ISNUMBER(SEARCH("Blast",$L224)),(4+$F224+(2-$F224)*0.5)/6*2,(4+$F224)/6)) *
IF(ISNUMBER(SEARCH("Fusion",$L224)), _xlfn.IFS(AD$24-$I224 &lt;=1, 9/10, AD$24-$I224 &lt;=10,(11-(AD$24-$I224))/10, AD$24-$I224 &gt;=11, 0),
_xlfn.IFS(AD$24-$I224 &lt;=1, 5/6, AD$24-$I224 &lt;=5, (7-(AD$24-$I224))/6, AND(AD$24-$I224 =6,NOT(_xlfn.IFNA(ISNUMBER(SEARCH("Rending",$L224)),FALSE))), (7-(AD$24-$I224))/6, AND(AD$24-$I224 &gt;=7,NOT(_xlfn.IFNA(ISNUMBER(SEARCH("Rending",$L224)),FALSE))), 0, AD$24-$I224 =7, (7-(AD$24-1-$I224))/6, AD$24-$I224 =8, (7-(AD$24-2-$I224))/6*2/3, AD$24-$I224 =9, (7-(AD$24-3-$I224))/6*1/3, TRUE, 0)) *
IF(ISNUMBER(SEARCH("Ordinance",$L224)),7/6,1) *
IF(OR(ISNUMBER(SEARCH("Melee",$L224)),ISNUMBER(SEARCH("Bypass",$L224))),1.5,1)</f>
        <v>0</v>
      </c>
      <c r="AE224" s="17" cm="1">
        <f t="array" ref="AE224">$H224 *
IF(ISNUMBER(SEARCH("Rapid",$L224)),7/6,1) *
IF(OR(ISNUMBER(SEARCH("Beam",$L224)),ISNUMBER(SEARCH("Firestorm",$L224))),1, IF(ISNUMBER(SEARCH("Blast",$L224)),(4+$F224+(2-$F224)*0.5)/6*2,(4+$F224)/6)) *
IF(ISNUMBER(SEARCH("Fusion",$L224)), _xlfn.IFS(AE$24-$I224 &lt;=1, 9/10, AE$24-$I224 &lt;=10,(11-(AE$24-$I224))/10, AE$24-$I224 &gt;=11, 0),
_xlfn.IFS(AE$24-$I224 &lt;=1, 5/6, AE$24-$I224 &lt;=5, (7-(AE$24-$I224))/6, AND(AE$24-$I224 =6,NOT(_xlfn.IFNA(ISNUMBER(SEARCH("Rending",$L224)),FALSE))), (7-(AE$24-$I224))/6, AND(AE$24-$I224 &gt;=7,NOT(_xlfn.IFNA(ISNUMBER(SEARCH("Rending",$L224)),FALSE))), 0, AE$24-$I224 =7, (7-(AE$24-1-$I224))/6, AE$24-$I224 =8, (7-(AE$24-2-$I224))/6*2/3, AE$24-$I224 =9, (7-(AE$24-3-$I224))/6*1/3, TRUE, 0)) *
IF(ISNUMBER(SEARCH("Ordinance",$L224)),7/6,1) *
IF(OR(ISNUMBER(SEARCH("Melee",$L224)),ISNUMBER(SEARCH("Bypass",$L224))),1.5,1)</f>
        <v>0</v>
      </c>
      <c r="AF224" s="17" cm="1">
        <f t="array" ref="AF224">$H224 *
IF(ISNUMBER(SEARCH("Rapid",$L224)),7/6,1) *
IF(OR(ISNUMBER(SEARCH("Beam",$L224)),ISNUMBER(SEARCH("Firestorm",$L224))),1, IF(ISNUMBER(SEARCH("Blast",$L224)),(4+$F224+(2-$F224)*0.5)/6*2,(4+$F224)/6)) *
IF(ISNUMBER(SEARCH("Fusion",$L224)), _xlfn.IFS(AF$24-$I224 &lt;=1, 9/10, AF$24-$I224 &lt;=10,(11-(AF$24-$I224))/10, AF$24-$I224 &gt;=11, 0),
_xlfn.IFS(AF$24-$I224 &lt;=1, 5/6, AF$24-$I224 &lt;=5, (7-(AF$24-$I224))/6, AND(AF$24-$I224 =6,NOT(_xlfn.IFNA(ISNUMBER(SEARCH("Rending",$L224)),FALSE))), (7-(AF$24-$I224))/6, AND(AF$24-$I224 &gt;=7,NOT(_xlfn.IFNA(ISNUMBER(SEARCH("Rending",$L224)),FALSE))), 0, AF$24-$I224 =7, (7-(AF$24-1-$I224))/6, AF$24-$I224 =8, (7-(AF$24-2-$I224))/6*2/3, AF$24-$I224 =9, (7-(AF$24-3-$I224))/6*1/3, TRUE, 0)) *
IF(ISNUMBER(SEARCH("Ordinance",$L224)),7/6,1) *
IF(OR(ISNUMBER(SEARCH("Melee",$L224)),ISNUMBER(SEARCH("Bypass",$L224))),1.5,1)</f>
        <v>0</v>
      </c>
      <c r="AG224" s="16">
        <f t="shared" si="67"/>
        <v>0</v>
      </c>
      <c r="AH224" s="16">
        <f t="shared" si="68"/>
        <v>0</v>
      </c>
      <c r="AI224" s="17" cm="1">
        <f t="array" ref="AI224">$H224 *
IF(ISNUMBER(SEARCH("Rapid",$L224)),7/6,1) *
IF(OR(ISNUMBER(SEARCH("Beam",$L224)),ISNUMBER(SEARCH("Firestorm",$L224))),1, IF(ISNUMBER(SEARCH("Blast",$L224)),(4+$G224+(2-$G224)*0.5)/6*2,(4+$G224)/6)) *
_xlfn.IFS(AI$24-$I224 &lt;=1, 5/6, AI$24-$I224 &lt;=5, (7-(AI$24-$I224))/6, AND(AI$24-$I224 =6,NOT(_xlfn.IFNA(ISNUMBER(SEARCH("Rending",$L224)),FALSE))), (7-(AI$24-$I224))/6, AND(AI$24-$I224 &gt;=7,NOT(_xlfn.IFNA(ISNUMBER(SEARCH("Rending",$L224)),FALSE))), 0, AI$24-$I224 =7, (7-(AI$24-1-$I224))/6, AI$24-$I224 =8, (7-(AI$24-2-$I224))/6*2/3, AI$24-$I224 =9, (7-(AI$24-3-$I224))/6*1/3, TRUE, 0) *
IF(ISNUMBER(SEARCH("Ordinance",$L224)),7/6,1) *
IF(OR(ISNUMBER(SEARCH("Melee",$L224)),ISNUMBER(SEARCH("Bypass",$L224))),1.5,1)</f>
        <v>0</v>
      </c>
      <c r="AJ224" s="17" cm="1">
        <f t="array" ref="AJ224">$H224 *
IF(ISNUMBER(SEARCH("Rapid",$L224)),7/6,1) *
IF(OR(ISNUMBER(SEARCH("Beam",$L224)),ISNUMBER(SEARCH("Firestorm",$L224))),1, IF(ISNUMBER(SEARCH("Blast",$L224)),(4+$G224+(2-$G224)*0.5)/6*2,(4+$G224)/6)) *
_xlfn.IFS(AJ$24-$I224 &lt;=1, 5/6, AJ$24-$I224 &lt;=5, (7-(AJ$24-$I224))/6, AND(AJ$24-$I224 =6,NOT(_xlfn.IFNA(ISNUMBER(SEARCH("Rending",$L224)),FALSE))), (7-(AJ$24-$I224))/6, AND(AJ$24-$I224 &gt;=7,NOT(_xlfn.IFNA(ISNUMBER(SEARCH("Rending",$L224)),FALSE))), 0, AJ$24-$I224 =7, (7-(AJ$24-1-$I224))/6, AJ$24-$I224 =8, (7-(AJ$24-2-$I224))/6*2/3, AJ$24-$I224 =9, (7-(AJ$24-3-$I224))/6*1/3, TRUE, 0) *
IF(ISNUMBER(SEARCH("Ordinance",$L224)),7/6,1) *
IF(OR(ISNUMBER(SEARCH("Melee",$L224)),ISNUMBER(SEARCH("Bypass",$L224))),1.5,1)</f>
        <v>0</v>
      </c>
      <c r="AK224" s="17" cm="1">
        <f t="array" ref="AK224">$H224 *
IF(ISNUMBER(SEARCH("Rapid",$L224)),7/6,1) *
IF(OR(ISNUMBER(SEARCH("Beam",$L224)),ISNUMBER(SEARCH("Firestorm",$L224))),1, IF(ISNUMBER(SEARCH("Blast",$L224)),(4+$G224+(2-$G224)*0.5)/6*2,(4+$G224)/6)) *
_xlfn.IFS(AK$24-$I224 &lt;=1, 5/6, AK$24-$I224 &lt;=5, (7-(AK$24-$I224))/6, AND(AK$24-$I224 =6,NOT(_xlfn.IFNA(ISNUMBER(SEARCH("Rending",$L224)),FALSE))), (7-(AK$24-$I224))/6, AND(AK$24-$I224 &gt;=7,NOT(_xlfn.IFNA(ISNUMBER(SEARCH("Rending",$L224)),FALSE))), 0, AK$24-$I224 =7, (7-(AK$24-1-$I224))/6, AK$24-$I224 =8, (7-(AK$24-2-$I224))/6*2/3, AK$24-$I224 =9, (7-(AK$24-3-$I224))/6*1/3, TRUE, 0) *
IF(ISNUMBER(SEARCH("Ordinance",$L224)),7/6,1) *
IF(OR(ISNUMBER(SEARCH("Melee",$L224)),ISNUMBER(SEARCH("Bypass",$L224))),1.5,1)</f>
        <v>0</v>
      </c>
      <c r="AL224" s="17" cm="1">
        <f t="array" ref="AL224">$H224 *
IF(ISNUMBER(SEARCH("Rapid",$L224)),7/6,1) *
IF(OR(ISNUMBER(SEARCH("Beam",$L224)),ISNUMBER(SEARCH("Firestorm",$L224))),1, IF(ISNUMBER(SEARCH("Blast",$L224)),(4+$G224+(2-$G224)*0.5)/6*2,(4+$G224)/6)) *
_xlfn.IFS(AL$24-$I224 &lt;=1, 5/6, AL$24-$I224 &lt;=5, (7-(AL$24-$I224))/6, AND(AL$24-$I224 =6,NOT(_xlfn.IFNA(ISNUMBER(SEARCH("Rending",$L224)),FALSE))), (7-(AL$24-$I224))/6, AND(AL$24-$I224 &gt;=7,NOT(_xlfn.IFNA(ISNUMBER(SEARCH("Rending",$L224)),FALSE))), 0, AL$24-$I224 =7, (7-(AL$24-1-$I224))/6, AL$24-$I224 =8, (7-(AL$24-2-$I224))/6*2/3, AL$24-$I224 =9, (7-(AL$24-3-$I224))/6*1/3, TRUE, 0) *
IF(ISNUMBER(SEARCH("Ordinance",$L224)),7/6,1) *
IF(OR(ISNUMBER(SEARCH("Melee",$L224)),ISNUMBER(SEARCH("Bypass",$L224))),1.5,1)</f>
        <v>0</v>
      </c>
      <c r="AM224" s="17" cm="1">
        <f t="array" ref="AM224">$H224 *
IF(ISNUMBER(SEARCH("Rapid",$L224)),7/6,1) *
IF(OR(ISNUMBER(SEARCH("Beam",$L224)),ISNUMBER(SEARCH("Firestorm",$L224))),1, IF(ISNUMBER(SEARCH("Blast",$L224)),(4+$G224+(2-$G224)*0.5)/6*2,(4+$G224)/6)) *
_xlfn.IFS(AM$24-$I224 &lt;=1, 5/6, AM$24-$I224 &lt;=5, (7-(AM$24-$I224))/6, AND(AM$24-$I224 =6,NOT(_xlfn.IFNA(ISNUMBER(SEARCH("Rending",$L224)),FALSE))), (7-(AM$24-$I224))/6, AND(AM$24-$I224 &gt;=7,NOT(_xlfn.IFNA(ISNUMBER(SEARCH("Rending",$L224)),FALSE))), 0, AM$24-$I224 =7, (7-(AM$24-1-$I224))/6, AM$24-$I224 =8, (7-(AM$24-2-$I224))/6*2/3, AM$24-$I224 =9, (7-(AM$24-3-$I224))/6*1/3, TRUE, 0) *
IF(ISNUMBER(SEARCH("Ordinance",$L224)),7/6,1) *
IF(OR(ISNUMBER(SEARCH("Melee",$L224)),ISNUMBER(SEARCH("Bypass",$L224))),1.5,1)</f>
        <v>0</v>
      </c>
      <c r="AN224" s="17" cm="1">
        <f t="array" ref="AN224">$H224 *
IF(ISNUMBER(SEARCH("Rapid",$L224)),7/6,1) *
IF(OR(ISNUMBER(SEARCH("Beam",$L224)),ISNUMBER(SEARCH("Firestorm",$L224))),1, IF(ISNUMBER(SEARCH("Blast",$L224)),(4+$G224+(2-$G224)*0.5)/6*2,(4+$G224)/6)) *
_xlfn.IFS(AN$24-$I224 &lt;=1, 5/6, AN$24-$I224 &lt;=5, (7-(AN$24-$I224))/6, AND(AN$24-$I224 =6,NOT(_xlfn.IFNA(ISNUMBER(SEARCH("Rending",$L224)),FALSE))), (7-(AN$24-$I224))/6, AND(AN$24-$I224 &gt;=7,NOT(_xlfn.IFNA(ISNUMBER(SEARCH("Rending",$L224)),FALSE))), 0, AN$24-$I224 =7, (7-(AN$24-1-$I224))/6, AN$24-$I224 =8, (7-(AN$24-2-$I224))/6*2/3, AN$24-$I224 =9, (7-(AN$24-3-$I224))/6*1/3, TRUE, 0) *
IF(ISNUMBER(SEARCH("Ordinance",$L224)),7/6,1) *
IF(OR(ISNUMBER(SEARCH("Melee",$L224)),ISNUMBER(SEARCH("Bypass",$L224))),1.5,1)</f>
        <v>0</v>
      </c>
      <c r="AO224" s="17" cm="1">
        <f t="array" ref="AO224">$H224 *
IF(ISNUMBER(SEARCH("Rapid",$L224)),7/6,1) *
IF(OR(ISNUMBER(SEARCH("Beam",$L224)),ISNUMBER(SEARCH("Firestorm",$L224))),1, IF(ISNUMBER(SEARCH("Blast",$L224)),(4+$G224+(2-$G224)*0.5)/6*2,(4+$G224)/6)) *
_xlfn.IFS(AO$24-$I224 &lt;=1, 5/6, AO$24-$I224 &lt;=5, (7-(AO$24-$I224))/6, AND(AO$24-$I224 =6,NOT(_xlfn.IFNA(ISNUMBER(SEARCH("Rending",$L224)),FALSE))), (7-(AO$24-$I224))/6, AND(AO$24-$I224 &gt;=7,NOT(_xlfn.IFNA(ISNUMBER(SEARCH("Rending",$L224)),FALSE))), 0, AO$24-$I224 =7, (7-(AO$24-1-$I224))/6, AO$24-$I224 =8, (7-(AO$24-2-$I224))/6*2/3, AO$24-$I224 =9, (7-(AO$24-3-$I224))/6*1/3, TRUE, 0) *
IF(ISNUMBER(SEARCH("Ordinance",$L224)),7/6,1) *
IF(OR(ISNUMBER(SEARCH("Melee",$L224)),ISNUMBER(SEARCH("Bypass",$L224))),1.5,1)</f>
        <v>0</v>
      </c>
      <c r="AP224" s="17" cm="1">
        <f t="array" ref="AP224">$H224 *
IF(ISNUMBER(SEARCH("Rapid",$L224)),7/6,1) *
IF(OR(ISNUMBER(SEARCH("Beam",$L224)),ISNUMBER(SEARCH("Firestorm",$L224))),1, IF(ISNUMBER(SEARCH("Blast",$L224)),(4+$G224+(2-$G224)*0.5)/6*2,(4+$G224)/6)) *
_xlfn.IFS(AP$24-$I224 &lt;=1, 5/6, AP$24-$I224 &lt;=5, (7-(AP$24-$I224))/6, AND(AP$24-$I224 =6,NOT(_xlfn.IFNA(ISNUMBER(SEARCH("Rending",$L224)),FALSE))), (7-(AP$24-$I224))/6, AND(AP$24-$I224 &gt;=7,NOT(_xlfn.IFNA(ISNUMBER(SEARCH("Rending",$L224)),FALSE))), 0, AP$24-$I224 =7, (7-(AP$24-1-$I224))/6, AP$24-$I224 =8, (7-(AP$24-2-$I224))/6*2/3, AP$24-$I224 =9, (7-(AP$24-3-$I224))/6*1/3, TRUE, 0) *
IF(ISNUMBER(SEARCH("Ordinance",$L224)),7/6,1) *
IF(OR(ISNUMBER(SEARCH("Melee",$L224)),ISNUMBER(SEARCH("Bypass",$L224))),1.5,1)</f>
        <v>0</v>
      </c>
      <c r="AQ224" s="17" cm="1">
        <f t="array" ref="AQ224">$H224 *
IF(ISNUMBER(SEARCH("Rapid",$L224)),7/6,1) *
IF(OR(ISNUMBER(SEARCH("Beam",$L224)),ISNUMBER(SEARCH("Firestorm",$L224))),1, IF(ISNUMBER(SEARCH("Blast",$L224)),(4+$G224+(2-$G224)*0.5)/6*2,(4+$G224)/6)) *
_xlfn.IFS(AQ$24-$I224 &lt;=1, 5/6, AQ$24-$I224 &lt;=5, (7-(AQ$24-$I224))/6, AND(AQ$24-$I224 =6,NOT(_xlfn.IFNA(ISNUMBER(SEARCH("Rending",$L224)),FALSE))), (7-(AQ$24-$I224))/6, AND(AQ$24-$I224 &gt;=7,NOT(_xlfn.IFNA(ISNUMBER(SEARCH("Rending",$L224)),FALSE))), 0, AQ$24-$I224 =7, (7-(AQ$24-1-$I224))/6, AQ$24-$I224 =8, (7-(AQ$24-2-$I224))/6*2/3, AQ$24-$I224 =9, (7-(AQ$24-3-$I224))/6*1/3, TRUE, 0) *
IF(ISNUMBER(SEARCH("Ordinance",$L224)),7/6,1) *
IF(OR(ISNUMBER(SEARCH("Melee",$L224)),ISNUMBER(SEARCH("Bypass",$L224))),1.5,1)</f>
        <v>0</v>
      </c>
    </row>
    <row r="225" spans="1:48" x14ac:dyDescent="0.3">
      <c r="F225" s="10"/>
      <c r="G225" s="10"/>
      <c r="V225" s="16">
        <f t="shared" si="65"/>
        <v>0</v>
      </c>
      <c r="W225" s="16">
        <f t="shared" si="66"/>
        <v>0</v>
      </c>
      <c r="X225" s="17" cm="1">
        <f t="array" ref="X225">$H225 *
IF(ISNUMBER(SEARCH("Rapid",$L225)),7/6,1) *
IF(OR(ISNUMBER(SEARCH("Beam",$L225)),ISNUMBER(SEARCH("Firestorm",$L225))),1, IF(ISNUMBER(SEARCH("Blast",$L225)),(4+$F225+(2-$F225)*0.5)/6*2,(4+$F225)/6)) *
IF(ISNUMBER(SEARCH("Fusion",$L225)), _xlfn.IFS(X$24-$I225 &lt;=1, 9/10, X$24-$I225 &lt;=10,(11-(X$24-$I225))/10, X$24-$I225 &gt;=11, 0),
_xlfn.IFS(X$24-$I225 &lt;=1, 5/6, X$24-$I225 &lt;=5, (7-(X$24-$I225))/6, AND(X$24-$I225 =6,NOT(_xlfn.IFNA(ISNUMBER(SEARCH("Rending",$L225)),FALSE))), (7-(X$24-$I225))/6, AND(X$24-$I225 &gt;=7,NOT(_xlfn.IFNA(ISNUMBER(SEARCH("Rending",$L225)),FALSE))), 0, X$24-$I225 =7, (7-(X$24-1-$I225))/6, X$24-$I225 =8, (7-(X$24-2-$I225))/6*2/3, X$24-$I225 =9, (7-(X$24-3-$I225))/6*1/3, TRUE, 0)) *
IF(ISNUMBER(SEARCH("Ordinance",$L225)),7/6,1) *
IF(OR(ISNUMBER(SEARCH("Melee",$L225)),ISNUMBER(SEARCH("Bypass",$L225))),1.5,1)</f>
        <v>0</v>
      </c>
      <c r="Y225" s="17" cm="1">
        <f t="array" ref="Y225">$H225 *
IF(ISNUMBER(SEARCH("Rapid",$L225)),7/6,1) *
IF(OR(ISNUMBER(SEARCH("Beam",$L225)),ISNUMBER(SEARCH("Firestorm",$L225))),1, IF(ISNUMBER(SEARCH("Blast",$L225)),(4+$F225+(2-$F225)*0.5)/6*2,(4+$F225)/6)) *
IF(ISNUMBER(SEARCH("Fusion",$L225)), _xlfn.IFS(Y$24-$I225 &lt;=1, 9/10, Y$24-$I225 &lt;=10,(11-(Y$24-$I225))/10, Y$24-$I225 &gt;=11, 0),
_xlfn.IFS(Y$24-$I225 &lt;=1, 5/6, Y$24-$I225 &lt;=5, (7-(Y$24-$I225))/6, AND(Y$24-$I225 =6,NOT(_xlfn.IFNA(ISNUMBER(SEARCH("Rending",$L225)),FALSE))), (7-(Y$24-$I225))/6, AND(Y$24-$I225 &gt;=7,NOT(_xlfn.IFNA(ISNUMBER(SEARCH("Rending",$L225)),FALSE))), 0, Y$24-$I225 =7, (7-(Y$24-1-$I225))/6, Y$24-$I225 =8, (7-(Y$24-2-$I225))/6*2/3, Y$24-$I225 =9, (7-(Y$24-3-$I225))/6*1/3, TRUE, 0)) *
IF(ISNUMBER(SEARCH("Ordinance",$L225)),7/6,1) *
IF(OR(ISNUMBER(SEARCH("Melee",$L225)),ISNUMBER(SEARCH("Bypass",$L225))),1.5,1)</f>
        <v>0</v>
      </c>
      <c r="Z225" s="17" cm="1">
        <f t="array" ref="Z225">$H225 *
IF(ISNUMBER(SEARCH("Rapid",$L225)),7/6,1) *
IF(OR(ISNUMBER(SEARCH("Beam",$L225)),ISNUMBER(SEARCH("Firestorm",$L225))),1, IF(ISNUMBER(SEARCH("Blast",$L225)),(4+$F225+(2-$F225)*0.5)/6*2,(4+$F225)/6)) *
IF(ISNUMBER(SEARCH("Fusion",$L225)), _xlfn.IFS(Z$24-$I225 &lt;=1, 9/10, Z$24-$I225 &lt;=10,(11-(Z$24-$I225))/10, Z$24-$I225 &gt;=11, 0),
_xlfn.IFS(Z$24-$I225 &lt;=1, 5/6, Z$24-$I225 &lt;=5, (7-(Z$24-$I225))/6, AND(Z$24-$I225 =6,NOT(_xlfn.IFNA(ISNUMBER(SEARCH("Rending",$L225)),FALSE))), (7-(Z$24-$I225))/6, AND(Z$24-$I225 &gt;=7,NOT(_xlfn.IFNA(ISNUMBER(SEARCH("Rending",$L225)),FALSE))), 0, Z$24-$I225 =7, (7-(Z$24-1-$I225))/6, Z$24-$I225 =8, (7-(Z$24-2-$I225))/6*2/3, Z$24-$I225 =9, (7-(Z$24-3-$I225))/6*1/3, TRUE, 0)) *
IF(ISNUMBER(SEARCH("Ordinance",$L225)),7/6,1) *
IF(OR(ISNUMBER(SEARCH("Melee",$L225)),ISNUMBER(SEARCH("Bypass",$L225))),1.5,1)</f>
        <v>0</v>
      </c>
      <c r="AA225" s="17" cm="1">
        <f t="array" ref="AA225">$H225 *
IF(ISNUMBER(SEARCH("Rapid",$L225)),7/6,1) *
IF(OR(ISNUMBER(SEARCH("Beam",$L225)),ISNUMBER(SEARCH("Firestorm",$L225))),1, IF(ISNUMBER(SEARCH("Blast",$L225)),(4+$F225+(2-$F225)*0.5)/6*2,(4+$F225)/6)) *
IF(ISNUMBER(SEARCH("Fusion",$L225)), _xlfn.IFS(AA$24-$I225 &lt;=1, 9/10, AA$24-$I225 &lt;=10,(11-(AA$24-$I225))/10, AA$24-$I225 &gt;=11, 0),
_xlfn.IFS(AA$24-$I225 &lt;=1, 5/6, AA$24-$I225 &lt;=5, (7-(AA$24-$I225))/6, AND(AA$24-$I225 =6,NOT(_xlfn.IFNA(ISNUMBER(SEARCH("Rending",$L225)),FALSE))), (7-(AA$24-$I225))/6, AND(AA$24-$I225 &gt;=7,NOT(_xlfn.IFNA(ISNUMBER(SEARCH("Rending",$L225)),FALSE))), 0, AA$24-$I225 =7, (7-(AA$24-1-$I225))/6, AA$24-$I225 =8, (7-(AA$24-2-$I225))/6*2/3, AA$24-$I225 =9, (7-(AA$24-3-$I225))/6*1/3, TRUE, 0)) *
IF(ISNUMBER(SEARCH("Ordinance",$L225)),7/6,1) *
IF(OR(ISNUMBER(SEARCH("Melee",$L225)),ISNUMBER(SEARCH("Bypass",$L225))),1.5,1)</f>
        <v>0</v>
      </c>
      <c r="AB225" s="17" cm="1">
        <f t="array" ref="AB225">$H225 *
IF(ISNUMBER(SEARCH("Rapid",$L225)),7/6,1) *
IF(OR(ISNUMBER(SEARCH("Beam",$L225)),ISNUMBER(SEARCH("Firestorm",$L225))),1, IF(ISNUMBER(SEARCH("Blast",$L225)),(4+$F225+(2-$F225)*0.5)/6*2,(4+$F225)/6)) *
IF(ISNUMBER(SEARCH("Fusion",$L225)), _xlfn.IFS(AB$24-$I225 &lt;=1, 9/10, AB$24-$I225 &lt;=10,(11-(AB$24-$I225))/10, AB$24-$I225 &gt;=11, 0),
_xlfn.IFS(AB$24-$I225 &lt;=1, 5/6, AB$24-$I225 &lt;=5, (7-(AB$24-$I225))/6, AND(AB$24-$I225 =6,NOT(_xlfn.IFNA(ISNUMBER(SEARCH("Rending",$L225)),FALSE))), (7-(AB$24-$I225))/6, AND(AB$24-$I225 &gt;=7,NOT(_xlfn.IFNA(ISNUMBER(SEARCH("Rending",$L225)),FALSE))), 0, AB$24-$I225 =7, (7-(AB$24-1-$I225))/6, AB$24-$I225 =8, (7-(AB$24-2-$I225))/6*2/3, AB$24-$I225 =9, (7-(AB$24-3-$I225))/6*1/3, TRUE, 0)) *
IF(ISNUMBER(SEARCH("Ordinance",$L225)),7/6,1) *
IF(OR(ISNUMBER(SEARCH("Melee",$L225)),ISNUMBER(SEARCH("Bypass",$L225))),1.5,1)</f>
        <v>0</v>
      </c>
      <c r="AC225" s="17" cm="1">
        <f t="array" ref="AC225">$H225 *
IF(ISNUMBER(SEARCH("Rapid",$L225)),7/6,1) *
IF(OR(ISNUMBER(SEARCH("Beam",$L225)),ISNUMBER(SEARCH("Firestorm",$L225))),1, IF(ISNUMBER(SEARCH("Blast",$L225)),(4+$F225+(2-$F225)*0.5)/6*2,(4+$F225)/6)) *
IF(ISNUMBER(SEARCH("Fusion",$L225)), _xlfn.IFS(AC$24-$I225 &lt;=1, 9/10, AC$24-$I225 &lt;=10,(11-(AC$24-$I225))/10, AC$24-$I225 &gt;=11, 0),
_xlfn.IFS(AC$24-$I225 &lt;=1, 5/6, AC$24-$I225 &lt;=5, (7-(AC$24-$I225))/6, AND(AC$24-$I225 =6,NOT(_xlfn.IFNA(ISNUMBER(SEARCH("Rending",$L225)),FALSE))), (7-(AC$24-$I225))/6, AND(AC$24-$I225 &gt;=7,NOT(_xlfn.IFNA(ISNUMBER(SEARCH("Rending",$L225)),FALSE))), 0, AC$24-$I225 =7, (7-(AC$24-1-$I225))/6, AC$24-$I225 =8, (7-(AC$24-2-$I225))/6*2/3, AC$24-$I225 =9, (7-(AC$24-3-$I225))/6*1/3, TRUE, 0)) *
IF(ISNUMBER(SEARCH("Ordinance",$L225)),7/6,1) *
IF(OR(ISNUMBER(SEARCH("Melee",$L225)),ISNUMBER(SEARCH("Bypass",$L225))),1.5,1)</f>
        <v>0</v>
      </c>
      <c r="AD225" s="17" cm="1">
        <f t="array" ref="AD225">$H225 *
IF(ISNUMBER(SEARCH("Rapid",$L225)),7/6,1) *
IF(OR(ISNUMBER(SEARCH("Beam",$L225)),ISNUMBER(SEARCH("Firestorm",$L225))),1, IF(ISNUMBER(SEARCH("Blast",$L225)),(4+$F225+(2-$F225)*0.5)/6*2,(4+$F225)/6)) *
IF(ISNUMBER(SEARCH("Fusion",$L225)), _xlfn.IFS(AD$24-$I225 &lt;=1, 9/10, AD$24-$I225 &lt;=10,(11-(AD$24-$I225))/10, AD$24-$I225 &gt;=11, 0),
_xlfn.IFS(AD$24-$I225 &lt;=1, 5/6, AD$24-$I225 &lt;=5, (7-(AD$24-$I225))/6, AND(AD$24-$I225 =6,NOT(_xlfn.IFNA(ISNUMBER(SEARCH("Rending",$L225)),FALSE))), (7-(AD$24-$I225))/6, AND(AD$24-$I225 &gt;=7,NOT(_xlfn.IFNA(ISNUMBER(SEARCH("Rending",$L225)),FALSE))), 0, AD$24-$I225 =7, (7-(AD$24-1-$I225))/6, AD$24-$I225 =8, (7-(AD$24-2-$I225))/6*2/3, AD$24-$I225 =9, (7-(AD$24-3-$I225))/6*1/3, TRUE, 0)) *
IF(ISNUMBER(SEARCH("Ordinance",$L225)),7/6,1) *
IF(OR(ISNUMBER(SEARCH("Melee",$L225)),ISNUMBER(SEARCH("Bypass",$L225))),1.5,1)</f>
        <v>0</v>
      </c>
      <c r="AE225" s="17" cm="1">
        <f t="array" ref="AE225">$H225 *
IF(ISNUMBER(SEARCH("Rapid",$L225)),7/6,1) *
IF(OR(ISNUMBER(SEARCH("Beam",$L225)),ISNUMBER(SEARCH("Firestorm",$L225))),1, IF(ISNUMBER(SEARCH("Blast",$L225)),(4+$F225+(2-$F225)*0.5)/6*2,(4+$F225)/6)) *
IF(ISNUMBER(SEARCH("Fusion",$L225)), _xlfn.IFS(AE$24-$I225 &lt;=1, 9/10, AE$24-$I225 &lt;=10,(11-(AE$24-$I225))/10, AE$24-$I225 &gt;=11, 0),
_xlfn.IFS(AE$24-$I225 &lt;=1, 5/6, AE$24-$I225 &lt;=5, (7-(AE$24-$I225))/6, AND(AE$24-$I225 =6,NOT(_xlfn.IFNA(ISNUMBER(SEARCH("Rending",$L225)),FALSE))), (7-(AE$24-$I225))/6, AND(AE$24-$I225 &gt;=7,NOT(_xlfn.IFNA(ISNUMBER(SEARCH("Rending",$L225)),FALSE))), 0, AE$24-$I225 =7, (7-(AE$24-1-$I225))/6, AE$24-$I225 =8, (7-(AE$24-2-$I225))/6*2/3, AE$24-$I225 =9, (7-(AE$24-3-$I225))/6*1/3, TRUE, 0)) *
IF(ISNUMBER(SEARCH("Ordinance",$L225)),7/6,1) *
IF(OR(ISNUMBER(SEARCH("Melee",$L225)),ISNUMBER(SEARCH("Bypass",$L225))),1.5,1)</f>
        <v>0</v>
      </c>
      <c r="AF225" s="17" cm="1">
        <f t="array" ref="AF225">$H225 *
IF(ISNUMBER(SEARCH("Rapid",$L225)),7/6,1) *
IF(OR(ISNUMBER(SEARCH("Beam",$L225)),ISNUMBER(SEARCH("Firestorm",$L225))),1, IF(ISNUMBER(SEARCH("Blast",$L225)),(4+$F225+(2-$F225)*0.5)/6*2,(4+$F225)/6)) *
IF(ISNUMBER(SEARCH("Fusion",$L225)), _xlfn.IFS(AF$24-$I225 &lt;=1, 9/10, AF$24-$I225 &lt;=10,(11-(AF$24-$I225))/10, AF$24-$I225 &gt;=11, 0),
_xlfn.IFS(AF$24-$I225 &lt;=1, 5/6, AF$24-$I225 &lt;=5, (7-(AF$24-$I225))/6, AND(AF$24-$I225 =6,NOT(_xlfn.IFNA(ISNUMBER(SEARCH("Rending",$L225)),FALSE))), (7-(AF$24-$I225))/6, AND(AF$24-$I225 &gt;=7,NOT(_xlfn.IFNA(ISNUMBER(SEARCH("Rending",$L225)),FALSE))), 0, AF$24-$I225 =7, (7-(AF$24-1-$I225))/6, AF$24-$I225 =8, (7-(AF$24-2-$I225))/6*2/3, AF$24-$I225 =9, (7-(AF$24-3-$I225))/6*1/3, TRUE, 0)) *
IF(ISNUMBER(SEARCH("Ordinance",$L225)),7/6,1) *
IF(OR(ISNUMBER(SEARCH("Melee",$L225)),ISNUMBER(SEARCH("Bypass",$L225))),1.5,1)</f>
        <v>0</v>
      </c>
      <c r="AG225" s="16">
        <f t="shared" si="67"/>
        <v>0</v>
      </c>
      <c r="AH225" s="16">
        <f t="shared" si="68"/>
        <v>0</v>
      </c>
      <c r="AI225" s="17" cm="1">
        <f t="array" ref="AI225">$H225 *
IF(ISNUMBER(SEARCH("Rapid",$L225)),7/6,1) *
IF(OR(ISNUMBER(SEARCH("Beam",$L225)),ISNUMBER(SEARCH("Firestorm",$L225))),1, IF(ISNUMBER(SEARCH("Blast",$L225)),(4+$G225+(2-$G225)*0.5)/6*2,(4+$G225)/6)) *
_xlfn.IFS(AI$24-$I225 &lt;=1, 5/6, AI$24-$I225 &lt;=5, (7-(AI$24-$I225))/6, AND(AI$24-$I225 =6,NOT(_xlfn.IFNA(ISNUMBER(SEARCH("Rending",$L225)),FALSE))), (7-(AI$24-$I225))/6, AND(AI$24-$I225 &gt;=7,NOT(_xlfn.IFNA(ISNUMBER(SEARCH("Rending",$L225)),FALSE))), 0, AI$24-$I225 =7, (7-(AI$24-1-$I225))/6, AI$24-$I225 =8, (7-(AI$24-2-$I225))/6*2/3, AI$24-$I225 =9, (7-(AI$24-3-$I225))/6*1/3, TRUE, 0) *
IF(ISNUMBER(SEARCH("Ordinance",$L225)),7/6,1) *
IF(OR(ISNUMBER(SEARCH("Melee",$L225)),ISNUMBER(SEARCH("Bypass",$L225))),1.5,1)</f>
        <v>0</v>
      </c>
      <c r="AJ225" s="17" cm="1">
        <f t="array" ref="AJ225">$H225 *
IF(ISNUMBER(SEARCH("Rapid",$L225)),7/6,1) *
IF(OR(ISNUMBER(SEARCH("Beam",$L225)),ISNUMBER(SEARCH("Firestorm",$L225))),1, IF(ISNUMBER(SEARCH("Blast",$L225)),(4+$G225+(2-$G225)*0.5)/6*2,(4+$G225)/6)) *
_xlfn.IFS(AJ$24-$I225 &lt;=1, 5/6, AJ$24-$I225 &lt;=5, (7-(AJ$24-$I225))/6, AND(AJ$24-$I225 =6,NOT(_xlfn.IFNA(ISNUMBER(SEARCH("Rending",$L225)),FALSE))), (7-(AJ$24-$I225))/6, AND(AJ$24-$I225 &gt;=7,NOT(_xlfn.IFNA(ISNUMBER(SEARCH("Rending",$L225)),FALSE))), 0, AJ$24-$I225 =7, (7-(AJ$24-1-$I225))/6, AJ$24-$I225 =8, (7-(AJ$24-2-$I225))/6*2/3, AJ$24-$I225 =9, (7-(AJ$24-3-$I225))/6*1/3, TRUE, 0) *
IF(ISNUMBER(SEARCH("Ordinance",$L225)),7/6,1) *
IF(OR(ISNUMBER(SEARCH("Melee",$L225)),ISNUMBER(SEARCH("Bypass",$L225))),1.5,1)</f>
        <v>0</v>
      </c>
      <c r="AK225" s="17" cm="1">
        <f t="array" ref="AK225">$H225 *
IF(ISNUMBER(SEARCH("Rapid",$L225)),7/6,1) *
IF(OR(ISNUMBER(SEARCH("Beam",$L225)),ISNUMBER(SEARCH("Firestorm",$L225))),1, IF(ISNUMBER(SEARCH("Blast",$L225)),(4+$G225+(2-$G225)*0.5)/6*2,(4+$G225)/6)) *
_xlfn.IFS(AK$24-$I225 &lt;=1, 5/6, AK$24-$I225 &lt;=5, (7-(AK$24-$I225))/6, AND(AK$24-$I225 =6,NOT(_xlfn.IFNA(ISNUMBER(SEARCH("Rending",$L225)),FALSE))), (7-(AK$24-$I225))/6, AND(AK$24-$I225 &gt;=7,NOT(_xlfn.IFNA(ISNUMBER(SEARCH("Rending",$L225)),FALSE))), 0, AK$24-$I225 =7, (7-(AK$24-1-$I225))/6, AK$24-$I225 =8, (7-(AK$24-2-$I225))/6*2/3, AK$24-$I225 =9, (7-(AK$24-3-$I225))/6*1/3, TRUE, 0) *
IF(ISNUMBER(SEARCH("Ordinance",$L225)),7/6,1) *
IF(OR(ISNUMBER(SEARCH("Melee",$L225)),ISNUMBER(SEARCH("Bypass",$L225))),1.5,1)</f>
        <v>0</v>
      </c>
      <c r="AL225" s="17" cm="1">
        <f t="array" ref="AL225">$H225 *
IF(ISNUMBER(SEARCH("Rapid",$L225)),7/6,1) *
IF(OR(ISNUMBER(SEARCH("Beam",$L225)),ISNUMBER(SEARCH("Firestorm",$L225))),1, IF(ISNUMBER(SEARCH("Blast",$L225)),(4+$G225+(2-$G225)*0.5)/6*2,(4+$G225)/6)) *
_xlfn.IFS(AL$24-$I225 &lt;=1, 5/6, AL$24-$I225 &lt;=5, (7-(AL$24-$I225))/6, AND(AL$24-$I225 =6,NOT(_xlfn.IFNA(ISNUMBER(SEARCH("Rending",$L225)),FALSE))), (7-(AL$24-$I225))/6, AND(AL$24-$I225 &gt;=7,NOT(_xlfn.IFNA(ISNUMBER(SEARCH("Rending",$L225)),FALSE))), 0, AL$24-$I225 =7, (7-(AL$24-1-$I225))/6, AL$24-$I225 =8, (7-(AL$24-2-$I225))/6*2/3, AL$24-$I225 =9, (7-(AL$24-3-$I225))/6*1/3, TRUE, 0) *
IF(ISNUMBER(SEARCH("Ordinance",$L225)),7/6,1) *
IF(OR(ISNUMBER(SEARCH("Melee",$L225)),ISNUMBER(SEARCH("Bypass",$L225))),1.5,1)</f>
        <v>0</v>
      </c>
      <c r="AM225" s="17" cm="1">
        <f t="array" ref="AM225">$H225 *
IF(ISNUMBER(SEARCH("Rapid",$L225)),7/6,1) *
IF(OR(ISNUMBER(SEARCH("Beam",$L225)),ISNUMBER(SEARCH("Firestorm",$L225))),1, IF(ISNUMBER(SEARCH("Blast",$L225)),(4+$G225+(2-$G225)*0.5)/6*2,(4+$G225)/6)) *
_xlfn.IFS(AM$24-$I225 &lt;=1, 5/6, AM$24-$I225 &lt;=5, (7-(AM$24-$I225))/6, AND(AM$24-$I225 =6,NOT(_xlfn.IFNA(ISNUMBER(SEARCH("Rending",$L225)),FALSE))), (7-(AM$24-$I225))/6, AND(AM$24-$I225 &gt;=7,NOT(_xlfn.IFNA(ISNUMBER(SEARCH("Rending",$L225)),FALSE))), 0, AM$24-$I225 =7, (7-(AM$24-1-$I225))/6, AM$24-$I225 =8, (7-(AM$24-2-$I225))/6*2/3, AM$24-$I225 =9, (7-(AM$24-3-$I225))/6*1/3, TRUE, 0) *
IF(ISNUMBER(SEARCH("Ordinance",$L225)),7/6,1) *
IF(OR(ISNUMBER(SEARCH("Melee",$L225)),ISNUMBER(SEARCH("Bypass",$L225))),1.5,1)</f>
        <v>0</v>
      </c>
      <c r="AN225" s="17" cm="1">
        <f t="array" ref="AN225">$H225 *
IF(ISNUMBER(SEARCH("Rapid",$L225)),7/6,1) *
IF(OR(ISNUMBER(SEARCH("Beam",$L225)),ISNUMBER(SEARCH("Firestorm",$L225))),1, IF(ISNUMBER(SEARCH("Blast",$L225)),(4+$G225+(2-$G225)*0.5)/6*2,(4+$G225)/6)) *
_xlfn.IFS(AN$24-$I225 &lt;=1, 5/6, AN$24-$I225 &lt;=5, (7-(AN$24-$I225))/6, AND(AN$24-$I225 =6,NOT(_xlfn.IFNA(ISNUMBER(SEARCH("Rending",$L225)),FALSE))), (7-(AN$24-$I225))/6, AND(AN$24-$I225 &gt;=7,NOT(_xlfn.IFNA(ISNUMBER(SEARCH("Rending",$L225)),FALSE))), 0, AN$24-$I225 =7, (7-(AN$24-1-$I225))/6, AN$24-$I225 =8, (7-(AN$24-2-$I225))/6*2/3, AN$24-$I225 =9, (7-(AN$24-3-$I225))/6*1/3, TRUE, 0) *
IF(ISNUMBER(SEARCH("Ordinance",$L225)),7/6,1) *
IF(OR(ISNUMBER(SEARCH("Melee",$L225)),ISNUMBER(SEARCH("Bypass",$L225))),1.5,1)</f>
        <v>0</v>
      </c>
      <c r="AO225" s="17" cm="1">
        <f t="array" ref="AO225">$H225 *
IF(ISNUMBER(SEARCH("Rapid",$L225)),7/6,1) *
IF(OR(ISNUMBER(SEARCH("Beam",$L225)),ISNUMBER(SEARCH("Firestorm",$L225))),1, IF(ISNUMBER(SEARCH("Blast",$L225)),(4+$G225+(2-$G225)*0.5)/6*2,(4+$G225)/6)) *
_xlfn.IFS(AO$24-$I225 &lt;=1, 5/6, AO$24-$I225 &lt;=5, (7-(AO$24-$I225))/6, AND(AO$24-$I225 =6,NOT(_xlfn.IFNA(ISNUMBER(SEARCH("Rending",$L225)),FALSE))), (7-(AO$24-$I225))/6, AND(AO$24-$I225 &gt;=7,NOT(_xlfn.IFNA(ISNUMBER(SEARCH("Rending",$L225)),FALSE))), 0, AO$24-$I225 =7, (7-(AO$24-1-$I225))/6, AO$24-$I225 =8, (7-(AO$24-2-$I225))/6*2/3, AO$24-$I225 =9, (7-(AO$24-3-$I225))/6*1/3, TRUE, 0) *
IF(ISNUMBER(SEARCH("Ordinance",$L225)),7/6,1) *
IF(OR(ISNUMBER(SEARCH("Melee",$L225)),ISNUMBER(SEARCH("Bypass",$L225))),1.5,1)</f>
        <v>0</v>
      </c>
      <c r="AP225" s="17" cm="1">
        <f t="array" ref="AP225">$H225 *
IF(ISNUMBER(SEARCH("Rapid",$L225)),7/6,1) *
IF(OR(ISNUMBER(SEARCH("Beam",$L225)),ISNUMBER(SEARCH("Firestorm",$L225))),1, IF(ISNUMBER(SEARCH("Blast",$L225)),(4+$G225+(2-$G225)*0.5)/6*2,(4+$G225)/6)) *
_xlfn.IFS(AP$24-$I225 &lt;=1, 5/6, AP$24-$I225 &lt;=5, (7-(AP$24-$I225))/6, AND(AP$24-$I225 =6,NOT(_xlfn.IFNA(ISNUMBER(SEARCH("Rending",$L225)),FALSE))), (7-(AP$24-$I225))/6, AND(AP$24-$I225 &gt;=7,NOT(_xlfn.IFNA(ISNUMBER(SEARCH("Rending",$L225)),FALSE))), 0, AP$24-$I225 =7, (7-(AP$24-1-$I225))/6, AP$24-$I225 =8, (7-(AP$24-2-$I225))/6*2/3, AP$24-$I225 =9, (7-(AP$24-3-$I225))/6*1/3, TRUE, 0) *
IF(ISNUMBER(SEARCH("Ordinance",$L225)),7/6,1) *
IF(OR(ISNUMBER(SEARCH("Melee",$L225)),ISNUMBER(SEARCH("Bypass",$L225))),1.5,1)</f>
        <v>0</v>
      </c>
      <c r="AQ225" s="17" cm="1">
        <f t="array" ref="AQ225">$H225 *
IF(ISNUMBER(SEARCH("Rapid",$L225)),7/6,1) *
IF(OR(ISNUMBER(SEARCH("Beam",$L225)),ISNUMBER(SEARCH("Firestorm",$L225))),1, IF(ISNUMBER(SEARCH("Blast",$L225)),(4+$G225+(2-$G225)*0.5)/6*2,(4+$G225)/6)) *
_xlfn.IFS(AQ$24-$I225 &lt;=1, 5/6, AQ$24-$I225 &lt;=5, (7-(AQ$24-$I225))/6, AND(AQ$24-$I225 =6,NOT(_xlfn.IFNA(ISNUMBER(SEARCH("Rending",$L225)),FALSE))), (7-(AQ$24-$I225))/6, AND(AQ$24-$I225 &gt;=7,NOT(_xlfn.IFNA(ISNUMBER(SEARCH("Rending",$L225)),FALSE))), 0, AQ$24-$I225 =7, (7-(AQ$24-1-$I225))/6, AQ$24-$I225 =8, (7-(AQ$24-2-$I225))/6*2/3, AQ$24-$I225 =9, (7-(AQ$24-3-$I225))/6*1/3, TRUE, 0) *
IF(ISNUMBER(SEARCH("Ordinance",$L225)),7/6,1) *
IF(OR(ISNUMBER(SEARCH("Melee",$L225)),ISNUMBER(SEARCH("Bypass",$L225))),1.5,1)</f>
        <v>0</v>
      </c>
      <c r="AS225" s="16"/>
      <c r="AT225" s="16"/>
      <c r="AU225" s="16"/>
    </row>
    <row r="226" spans="1:48" x14ac:dyDescent="0.3">
      <c r="F226" s="10"/>
      <c r="G226" s="10"/>
      <c r="H226" s="52"/>
      <c r="V226" s="16">
        <f t="shared" si="65"/>
        <v>0</v>
      </c>
      <c r="W226" s="16">
        <f t="shared" si="66"/>
        <v>0</v>
      </c>
      <c r="X226" s="17" cm="1">
        <f t="array" ref="X226">$H226 *
IF(ISNUMBER(SEARCH("Rapid",$L226)),7/6,1) *
IF(OR(ISNUMBER(SEARCH("Beam",$L226)),ISNUMBER(SEARCH("Firestorm",$L226))),1, IF(ISNUMBER(SEARCH("Blast",$L226)),(4+$F226+(2-$F226)*0.5)/6*2,(4+$F226)/6)) *
IF(ISNUMBER(SEARCH("Fusion",$L226)), _xlfn.IFS(X$24-$I226 &lt;=1, 9/10, X$24-$I226 &lt;=10,(11-(X$24-$I226))/10, X$24-$I226 &gt;=11, 0),
_xlfn.IFS(X$24-$I226 &lt;=1, 5/6, X$24-$I226 &lt;=5, (7-(X$24-$I226))/6, AND(X$24-$I226 =6,NOT(_xlfn.IFNA(ISNUMBER(SEARCH("Rending",$L226)),FALSE))), (7-(X$24-$I226))/6, AND(X$24-$I226 &gt;=7,NOT(_xlfn.IFNA(ISNUMBER(SEARCH("Rending",$L226)),FALSE))), 0, X$24-$I226 =7, (7-(X$24-1-$I226))/6, X$24-$I226 =8, (7-(X$24-2-$I226))/6*2/3, X$24-$I226 =9, (7-(X$24-3-$I226))/6*1/3, TRUE, 0)) *
IF(ISNUMBER(SEARCH("Ordinance",$L226)),7/6,1) *
IF(OR(ISNUMBER(SEARCH("Melee",$L226)),ISNUMBER(SEARCH("Bypass",$L226))),1.5,1)</f>
        <v>0</v>
      </c>
      <c r="Y226" s="17" cm="1">
        <f t="array" ref="Y226">$H226 *
IF(ISNUMBER(SEARCH("Rapid",$L226)),7/6,1) *
IF(OR(ISNUMBER(SEARCH("Beam",$L226)),ISNUMBER(SEARCH("Firestorm",$L226))),1, IF(ISNUMBER(SEARCH("Blast",$L226)),(4+$F226+(2-$F226)*0.5)/6*2,(4+$F226)/6)) *
IF(ISNUMBER(SEARCH("Fusion",$L226)), _xlfn.IFS(Y$24-$I226 &lt;=1, 9/10, Y$24-$I226 &lt;=10,(11-(Y$24-$I226))/10, Y$24-$I226 &gt;=11, 0),
_xlfn.IFS(Y$24-$I226 &lt;=1, 5/6, Y$24-$I226 &lt;=5, (7-(Y$24-$I226))/6, AND(Y$24-$I226 =6,NOT(_xlfn.IFNA(ISNUMBER(SEARCH("Rending",$L226)),FALSE))), (7-(Y$24-$I226))/6, AND(Y$24-$I226 &gt;=7,NOT(_xlfn.IFNA(ISNUMBER(SEARCH("Rending",$L226)),FALSE))), 0, Y$24-$I226 =7, (7-(Y$24-1-$I226))/6, Y$24-$I226 =8, (7-(Y$24-2-$I226))/6*2/3, Y$24-$I226 =9, (7-(Y$24-3-$I226))/6*1/3, TRUE, 0)) *
IF(ISNUMBER(SEARCH("Ordinance",$L226)),7/6,1) *
IF(OR(ISNUMBER(SEARCH("Melee",$L226)),ISNUMBER(SEARCH("Bypass",$L226))),1.5,1)</f>
        <v>0</v>
      </c>
      <c r="Z226" s="17" cm="1">
        <f t="array" ref="Z226">$H226 *
IF(ISNUMBER(SEARCH("Rapid",$L226)),7/6,1) *
IF(OR(ISNUMBER(SEARCH("Beam",$L226)),ISNUMBER(SEARCH("Firestorm",$L226))),1, IF(ISNUMBER(SEARCH("Blast",$L226)),(4+$F226+(2-$F226)*0.5)/6*2,(4+$F226)/6)) *
IF(ISNUMBER(SEARCH("Fusion",$L226)), _xlfn.IFS(Z$24-$I226 &lt;=1, 9/10, Z$24-$I226 &lt;=10,(11-(Z$24-$I226))/10, Z$24-$I226 &gt;=11, 0),
_xlfn.IFS(Z$24-$I226 &lt;=1, 5/6, Z$24-$I226 &lt;=5, (7-(Z$24-$I226))/6, AND(Z$24-$I226 =6,NOT(_xlfn.IFNA(ISNUMBER(SEARCH("Rending",$L226)),FALSE))), (7-(Z$24-$I226))/6, AND(Z$24-$I226 &gt;=7,NOT(_xlfn.IFNA(ISNUMBER(SEARCH("Rending",$L226)),FALSE))), 0, Z$24-$I226 =7, (7-(Z$24-1-$I226))/6, Z$24-$I226 =8, (7-(Z$24-2-$I226))/6*2/3, Z$24-$I226 =9, (7-(Z$24-3-$I226))/6*1/3, TRUE, 0)) *
IF(ISNUMBER(SEARCH("Ordinance",$L226)),7/6,1) *
IF(OR(ISNUMBER(SEARCH("Melee",$L226)),ISNUMBER(SEARCH("Bypass",$L226))),1.5,1)</f>
        <v>0</v>
      </c>
      <c r="AA226" s="17" cm="1">
        <f t="array" ref="AA226">$H226 *
IF(ISNUMBER(SEARCH("Rapid",$L226)),7/6,1) *
IF(OR(ISNUMBER(SEARCH("Beam",$L226)),ISNUMBER(SEARCH("Firestorm",$L226))),1, IF(ISNUMBER(SEARCH("Blast",$L226)),(4+$F226+(2-$F226)*0.5)/6*2,(4+$F226)/6)) *
IF(ISNUMBER(SEARCH("Fusion",$L226)), _xlfn.IFS(AA$24-$I226 &lt;=1, 9/10, AA$24-$I226 &lt;=10,(11-(AA$24-$I226))/10, AA$24-$I226 &gt;=11, 0),
_xlfn.IFS(AA$24-$I226 &lt;=1, 5/6, AA$24-$I226 &lt;=5, (7-(AA$24-$I226))/6, AND(AA$24-$I226 =6,NOT(_xlfn.IFNA(ISNUMBER(SEARCH("Rending",$L226)),FALSE))), (7-(AA$24-$I226))/6, AND(AA$24-$I226 &gt;=7,NOT(_xlfn.IFNA(ISNUMBER(SEARCH("Rending",$L226)),FALSE))), 0, AA$24-$I226 =7, (7-(AA$24-1-$I226))/6, AA$24-$I226 =8, (7-(AA$24-2-$I226))/6*2/3, AA$24-$I226 =9, (7-(AA$24-3-$I226))/6*1/3, TRUE, 0)) *
IF(ISNUMBER(SEARCH("Ordinance",$L226)),7/6,1) *
IF(OR(ISNUMBER(SEARCH("Melee",$L226)),ISNUMBER(SEARCH("Bypass",$L226))),1.5,1)</f>
        <v>0</v>
      </c>
      <c r="AB226" s="17" cm="1">
        <f t="array" ref="AB226">$H226 *
IF(ISNUMBER(SEARCH("Rapid",$L226)),7/6,1) *
IF(OR(ISNUMBER(SEARCH("Beam",$L226)),ISNUMBER(SEARCH("Firestorm",$L226))),1, IF(ISNUMBER(SEARCH("Blast",$L226)),(4+$F226+(2-$F226)*0.5)/6*2,(4+$F226)/6)) *
IF(ISNUMBER(SEARCH("Fusion",$L226)), _xlfn.IFS(AB$24-$I226 &lt;=1, 9/10, AB$24-$I226 &lt;=10,(11-(AB$24-$I226))/10, AB$24-$I226 &gt;=11, 0),
_xlfn.IFS(AB$24-$I226 &lt;=1, 5/6, AB$24-$I226 &lt;=5, (7-(AB$24-$I226))/6, AND(AB$24-$I226 =6,NOT(_xlfn.IFNA(ISNUMBER(SEARCH("Rending",$L226)),FALSE))), (7-(AB$24-$I226))/6, AND(AB$24-$I226 &gt;=7,NOT(_xlfn.IFNA(ISNUMBER(SEARCH("Rending",$L226)),FALSE))), 0, AB$24-$I226 =7, (7-(AB$24-1-$I226))/6, AB$24-$I226 =8, (7-(AB$24-2-$I226))/6*2/3, AB$24-$I226 =9, (7-(AB$24-3-$I226))/6*1/3, TRUE, 0)) *
IF(ISNUMBER(SEARCH("Ordinance",$L226)),7/6,1) *
IF(OR(ISNUMBER(SEARCH("Melee",$L226)),ISNUMBER(SEARCH("Bypass",$L226))),1.5,1)</f>
        <v>0</v>
      </c>
      <c r="AC226" s="17" cm="1">
        <f t="array" ref="AC226">$H226 *
IF(ISNUMBER(SEARCH("Rapid",$L226)),7/6,1) *
IF(OR(ISNUMBER(SEARCH("Beam",$L226)),ISNUMBER(SEARCH("Firestorm",$L226))),1, IF(ISNUMBER(SEARCH("Blast",$L226)),(4+$F226+(2-$F226)*0.5)/6*2,(4+$F226)/6)) *
IF(ISNUMBER(SEARCH("Fusion",$L226)), _xlfn.IFS(AC$24-$I226 &lt;=1, 9/10, AC$24-$I226 &lt;=10,(11-(AC$24-$I226))/10, AC$24-$I226 &gt;=11, 0),
_xlfn.IFS(AC$24-$I226 &lt;=1, 5/6, AC$24-$I226 &lt;=5, (7-(AC$24-$I226))/6, AND(AC$24-$I226 =6,NOT(_xlfn.IFNA(ISNUMBER(SEARCH("Rending",$L226)),FALSE))), (7-(AC$24-$I226))/6, AND(AC$24-$I226 &gt;=7,NOT(_xlfn.IFNA(ISNUMBER(SEARCH("Rending",$L226)),FALSE))), 0, AC$24-$I226 =7, (7-(AC$24-1-$I226))/6, AC$24-$I226 =8, (7-(AC$24-2-$I226))/6*2/3, AC$24-$I226 =9, (7-(AC$24-3-$I226))/6*1/3, TRUE, 0)) *
IF(ISNUMBER(SEARCH("Ordinance",$L226)),7/6,1) *
IF(OR(ISNUMBER(SEARCH("Melee",$L226)),ISNUMBER(SEARCH("Bypass",$L226))),1.5,1)</f>
        <v>0</v>
      </c>
      <c r="AD226" s="17" cm="1">
        <f t="array" ref="AD226">$H226 *
IF(ISNUMBER(SEARCH("Rapid",$L226)),7/6,1) *
IF(OR(ISNUMBER(SEARCH("Beam",$L226)),ISNUMBER(SEARCH("Firestorm",$L226))),1, IF(ISNUMBER(SEARCH("Blast",$L226)),(4+$F226+(2-$F226)*0.5)/6*2,(4+$F226)/6)) *
IF(ISNUMBER(SEARCH("Fusion",$L226)), _xlfn.IFS(AD$24-$I226 &lt;=1, 9/10, AD$24-$I226 &lt;=10,(11-(AD$24-$I226))/10, AD$24-$I226 &gt;=11, 0),
_xlfn.IFS(AD$24-$I226 &lt;=1, 5/6, AD$24-$I226 &lt;=5, (7-(AD$24-$I226))/6, AND(AD$24-$I226 =6,NOT(_xlfn.IFNA(ISNUMBER(SEARCH("Rending",$L226)),FALSE))), (7-(AD$24-$I226))/6, AND(AD$24-$I226 &gt;=7,NOT(_xlfn.IFNA(ISNUMBER(SEARCH("Rending",$L226)),FALSE))), 0, AD$24-$I226 =7, (7-(AD$24-1-$I226))/6, AD$24-$I226 =8, (7-(AD$24-2-$I226))/6*2/3, AD$24-$I226 =9, (7-(AD$24-3-$I226))/6*1/3, TRUE, 0)) *
IF(ISNUMBER(SEARCH("Ordinance",$L226)),7/6,1) *
IF(OR(ISNUMBER(SEARCH("Melee",$L226)),ISNUMBER(SEARCH("Bypass",$L226))),1.5,1)</f>
        <v>0</v>
      </c>
      <c r="AE226" s="17" cm="1">
        <f t="array" ref="AE226">$H226 *
IF(ISNUMBER(SEARCH("Rapid",$L226)),7/6,1) *
IF(OR(ISNUMBER(SEARCH("Beam",$L226)),ISNUMBER(SEARCH("Firestorm",$L226))),1, IF(ISNUMBER(SEARCH("Blast",$L226)),(4+$F226+(2-$F226)*0.5)/6*2,(4+$F226)/6)) *
IF(ISNUMBER(SEARCH("Fusion",$L226)), _xlfn.IFS(AE$24-$I226 &lt;=1, 9/10, AE$24-$I226 &lt;=10,(11-(AE$24-$I226))/10, AE$24-$I226 &gt;=11, 0),
_xlfn.IFS(AE$24-$I226 &lt;=1, 5/6, AE$24-$I226 &lt;=5, (7-(AE$24-$I226))/6, AND(AE$24-$I226 =6,NOT(_xlfn.IFNA(ISNUMBER(SEARCH("Rending",$L226)),FALSE))), (7-(AE$24-$I226))/6, AND(AE$24-$I226 &gt;=7,NOT(_xlfn.IFNA(ISNUMBER(SEARCH("Rending",$L226)),FALSE))), 0, AE$24-$I226 =7, (7-(AE$24-1-$I226))/6, AE$24-$I226 =8, (7-(AE$24-2-$I226))/6*2/3, AE$24-$I226 =9, (7-(AE$24-3-$I226))/6*1/3, TRUE, 0)) *
IF(ISNUMBER(SEARCH("Ordinance",$L226)),7/6,1) *
IF(OR(ISNUMBER(SEARCH("Melee",$L226)),ISNUMBER(SEARCH("Bypass",$L226))),1.5,1)</f>
        <v>0</v>
      </c>
      <c r="AF226" s="17" cm="1">
        <f t="array" ref="AF226">$H226 *
IF(ISNUMBER(SEARCH("Rapid",$L226)),7/6,1) *
IF(OR(ISNUMBER(SEARCH("Beam",$L226)),ISNUMBER(SEARCH("Firestorm",$L226))),1, IF(ISNUMBER(SEARCH("Blast",$L226)),(4+$F226+(2-$F226)*0.5)/6*2,(4+$F226)/6)) *
IF(ISNUMBER(SEARCH("Fusion",$L226)), _xlfn.IFS(AF$24-$I226 &lt;=1, 9/10, AF$24-$I226 &lt;=10,(11-(AF$24-$I226))/10, AF$24-$I226 &gt;=11, 0),
_xlfn.IFS(AF$24-$I226 &lt;=1, 5/6, AF$24-$I226 &lt;=5, (7-(AF$24-$I226))/6, AND(AF$24-$I226 =6,NOT(_xlfn.IFNA(ISNUMBER(SEARCH("Rending",$L226)),FALSE))), (7-(AF$24-$I226))/6, AND(AF$24-$I226 &gt;=7,NOT(_xlfn.IFNA(ISNUMBER(SEARCH("Rending",$L226)),FALSE))), 0, AF$24-$I226 =7, (7-(AF$24-1-$I226))/6, AF$24-$I226 =8, (7-(AF$24-2-$I226))/6*2/3, AF$24-$I226 =9, (7-(AF$24-3-$I226))/6*1/3, TRUE, 0)) *
IF(ISNUMBER(SEARCH("Ordinance",$L226)),7/6,1) *
IF(OR(ISNUMBER(SEARCH("Melee",$L226)),ISNUMBER(SEARCH("Bypass",$L226))),1.5,1)</f>
        <v>0</v>
      </c>
      <c r="AG226" s="16">
        <f t="shared" si="67"/>
        <v>0</v>
      </c>
      <c r="AH226" s="16">
        <f t="shared" si="68"/>
        <v>0</v>
      </c>
      <c r="AI226" s="17" cm="1">
        <f t="array" ref="AI226">$H226 *
IF(ISNUMBER(SEARCH("Rapid",$L226)),7/6,1) *
IF(OR(ISNUMBER(SEARCH("Beam",$L226)),ISNUMBER(SEARCH("Firestorm",$L226))),1, IF(ISNUMBER(SEARCH("Blast",$L226)),(4+$G226+(2-$G226)*0.5)/6*2,(4+$G226)/6)) *
_xlfn.IFS(AI$24-$I226 &lt;=1, 5/6, AI$24-$I226 &lt;=5, (7-(AI$24-$I226))/6, AND(AI$24-$I226 =6,NOT(_xlfn.IFNA(ISNUMBER(SEARCH("Rending",$L226)),FALSE))), (7-(AI$24-$I226))/6, AND(AI$24-$I226 &gt;=7,NOT(_xlfn.IFNA(ISNUMBER(SEARCH("Rending",$L226)),FALSE))), 0, AI$24-$I226 =7, (7-(AI$24-1-$I226))/6, AI$24-$I226 =8, (7-(AI$24-2-$I226))/6*2/3, AI$24-$I226 =9, (7-(AI$24-3-$I226))/6*1/3, TRUE, 0) *
IF(ISNUMBER(SEARCH("Ordinance",$L226)),7/6,1) *
IF(OR(ISNUMBER(SEARCH("Melee",$L226)),ISNUMBER(SEARCH("Bypass",$L226))),1.5,1)</f>
        <v>0</v>
      </c>
      <c r="AJ226" s="17" cm="1">
        <f t="array" ref="AJ226">$H226 *
IF(ISNUMBER(SEARCH("Rapid",$L226)),7/6,1) *
IF(OR(ISNUMBER(SEARCH("Beam",$L226)),ISNUMBER(SEARCH("Firestorm",$L226))),1, IF(ISNUMBER(SEARCH("Blast",$L226)),(4+$G226+(2-$G226)*0.5)/6*2,(4+$G226)/6)) *
_xlfn.IFS(AJ$24-$I226 &lt;=1, 5/6, AJ$24-$I226 &lt;=5, (7-(AJ$24-$I226))/6, AND(AJ$24-$I226 =6,NOT(_xlfn.IFNA(ISNUMBER(SEARCH("Rending",$L226)),FALSE))), (7-(AJ$24-$I226))/6, AND(AJ$24-$I226 &gt;=7,NOT(_xlfn.IFNA(ISNUMBER(SEARCH("Rending",$L226)),FALSE))), 0, AJ$24-$I226 =7, (7-(AJ$24-1-$I226))/6, AJ$24-$I226 =8, (7-(AJ$24-2-$I226))/6*2/3, AJ$24-$I226 =9, (7-(AJ$24-3-$I226))/6*1/3, TRUE, 0) *
IF(ISNUMBER(SEARCH("Ordinance",$L226)),7/6,1) *
IF(OR(ISNUMBER(SEARCH("Melee",$L226)),ISNUMBER(SEARCH("Bypass",$L226))),1.5,1)</f>
        <v>0</v>
      </c>
      <c r="AK226" s="17" cm="1">
        <f t="array" ref="AK226">$H226 *
IF(ISNUMBER(SEARCH("Rapid",$L226)),7/6,1) *
IF(OR(ISNUMBER(SEARCH("Beam",$L226)),ISNUMBER(SEARCH("Firestorm",$L226))),1, IF(ISNUMBER(SEARCH("Blast",$L226)),(4+$G226+(2-$G226)*0.5)/6*2,(4+$G226)/6)) *
_xlfn.IFS(AK$24-$I226 &lt;=1, 5/6, AK$24-$I226 &lt;=5, (7-(AK$24-$I226))/6, AND(AK$24-$I226 =6,NOT(_xlfn.IFNA(ISNUMBER(SEARCH("Rending",$L226)),FALSE))), (7-(AK$24-$I226))/6, AND(AK$24-$I226 &gt;=7,NOT(_xlfn.IFNA(ISNUMBER(SEARCH("Rending",$L226)),FALSE))), 0, AK$24-$I226 =7, (7-(AK$24-1-$I226))/6, AK$24-$I226 =8, (7-(AK$24-2-$I226))/6*2/3, AK$24-$I226 =9, (7-(AK$24-3-$I226))/6*1/3, TRUE, 0) *
IF(ISNUMBER(SEARCH("Ordinance",$L226)),7/6,1) *
IF(OR(ISNUMBER(SEARCH("Melee",$L226)),ISNUMBER(SEARCH("Bypass",$L226))),1.5,1)</f>
        <v>0</v>
      </c>
      <c r="AL226" s="17" cm="1">
        <f t="array" ref="AL226">$H226 *
IF(ISNUMBER(SEARCH("Rapid",$L226)),7/6,1) *
IF(OR(ISNUMBER(SEARCH("Beam",$L226)),ISNUMBER(SEARCH("Firestorm",$L226))),1, IF(ISNUMBER(SEARCH("Blast",$L226)),(4+$G226+(2-$G226)*0.5)/6*2,(4+$G226)/6)) *
_xlfn.IFS(AL$24-$I226 &lt;=1, 5/6, AL$24-$I226 &lt;=5, (7-(AL$24-$I226))/6, AND(AL$24-$I226 =6,NOT(_xlfn.IFNA(ISNUMBER(SEARCH("Rending",$L226)),FALSE))), (7-(AL$24-$I226))/6, AND(AL$24-$I226 &gt;=7,NOT(_xlfn.IFNA(ISNUMBER(SEARCH("Rending",$L226)),FALSE))), 0, AL$24-$I226 =7, (7-(AL$24-1-$I226))/6, AL$24-$I226 =8, (7-(AL$24-2-$I226))/6*2/3, AL$24-$I226 =9, (7-(AL$24-3-$I226))/6*1/3, TRUE, 0) *
IF(ISNUMBER(SEARCH("Ordinance",$L226)),7/6,1) *
IF(OR(ISNUMBER(SEARCH("Melee",$L226)),ISNUMBER(SEARCH("Bypass",$L226))),1.5,1)</f>
        <v>0</v>
      </c>
      <c r="AM226" s="17" cm="1">
        <f t="array" ref="AM226">$H226 *
IF(ISNUMBER(SEARCH("Rapid",$L226)),7/6,1) *
IF(OR(ISNUMBER(SEARCH("Beam",$L226)),ISNUMBER(SEARCH("Firestorm",$L226))),1, IF(ISNUMBER(SEARCH("Blast",$L226)),(4+$G226+(2-$G226)*0.5)/6*2,(4+$G226)/6)) *
_xlfn.IFS(AM$24-$I226 &lt;=1, 5/6, AM$24-$I226 &lt;=5, (7-(AM$24-$I226))/6, AND(AM$24-$I226 =6,NOT(_xlfn.IFNA(ISNUMBER(SEARCH("Rending",$L226)),FALSE))), (7-(AM$24-$I226))/6, AND(AM$24-$I226 &gt;=7,NOT(_xlfn.IFNA(ISNUMBER(SEARCH("Rending",$L226)),FALSE))), 0, AM$24-$I226 =7, (7-(AM$24-1-$I226))/6, AM$24-$I226 =8, (7-(AM$24-2-$I226))/6*2/3, AM$24-$I226 =9, (7-(AM$24-3-$I226))/6*1/3, TRUE, 0) *
IF(ISNUMBER(SEARCH("Ordinance",$L226)),7/6,1) *
IF(OR(ISNUMBER(SEARCH("Melee",$L226)),ISNUMBER(SEARCH("Bypass",$L226))),1.5,1)</f>
        <v>0</v>
      </c>
      <c r="AN226" s="17" cm="1">
        <f t="array" ref="AN226">$H226 *
IF(ISNUMBER(SEARCH("Rapid",$L226)),7/6,1) *
IF(OR(ISNUMBER(SEARCH("Beam",$L226)),ISNUMBER(SEARCH("Firestorm",$L226))),1, IF(ISNUMBER(SEARCH("Blast",$L226)),(4+$G226+(2-$G226)*0.5)/6*2,(4+$G226)/6)) *
_xlfn.IFS(AN$24-$I226 &lt;=1, 5/6, AN$24-$I226 &lt;=5, (7-(AN$24-$I226))/6, AND(AN$24-$I226 =6,NOT(_xlfn.IFNA(ISNUMBER(SEARCH("Rending",$L226)),FALSE))), (7-(AN$24-$I226))/6, AND(AN$24-$I226 &gt;=7,NOT(_xlfn.IFNA(ISNUMBER(SEARCH("Rending",$L226)),FALSE))), 0, AN$24-$I226 =7, (7-(AN$24-1-$I226))/6, AN$24-$I226 =8, (7-(AN$24-2-$I226))/6*2/3, AN$24-$I226 =9, (7-(AN$24-3-$I226))/6*1/3, TRUE, 0) *
IF(ISNUMBER(SEARCH("Ordinance",$L226)),7/6,1) *
IF(OR(ISNUMBER(SEARCH("Melee",$L226)),ISNUMBER(SEARCH("Bypass",$L226))),1.5,1)</f>
        <v>0</v>
      </c>
      <c r="AO226" s="17" cm="1">
        <f t="array" ref="AO226">$H226 *
IF(ISNUMBER(SEARCH("Rapid",$L226)),7/6,1) *
IF(OR(ISNUMBER(SEARCH("Beam",$L226)),ISNUMBER(SEARCH("Firestorm",$L226))),1, IF(ISNUMBER(SEARCH("Blast",$L226)),(4+$G226+(2-$G226)*0.5)/6*2,(4+$G226)/6)) *
_xlfn.IFS(AO$24-$I226 &lt;=1, 5/6, AO$24-$I226 &lt;=5, (7-(AO$24-$I226))/6, AND(AO$24-$I226 =6,NOT(_xlfn.IFNA(ISNUMBER(SEARCH("Rending",$L226)),FALSE))), (7-(AO$24-$I226))/6, AND(AO$24-$I226 &gt;=7,NOT(_xlfn.IFNA(ISNUMBER(SEARCH("Rending",$L226)),FALSE))), 0, AO$24-$I226 =7, (7-(AO$24-1-$I226))/6, AO$24-$I226 =8, (7-(AO$24-2-$I226))/6*2/3, AO$24-$I226 =9, (7-(AO$24-3-$I226))/6*1/3, TRUE, 0) *
IF(ISNUMBER(SEARCH("Ordinance",$L226)),7/6,1) *
IF(OR(ISNUMBER(SEARCH("Melee",$L226)),ISNUMBER(SEARCH("Bypass",$L226))),1.5,1)</f>
        <v>0</v>
      </c>
      <c r="AP226" s="17" cm="1">
        <f t="array" ref="AP226">$H226 *
IF(ISNUMBER(SEARCH("Rapid",$L226)),7/6,1) *
IF(OR(ISNUMBER(SEARCH("Beam",$L226)),ISNUMBER(SEARCH("Firestorm",$L226))),1, IF(ISNUMBER(SEARCH("Blast",$L226)),(4+$G226+(2-$G226)*0.5)/6*2,(4+$G226)/6)) *
_xlfn.IFS(AP$24-$I226 &lt;=1, 5/6, AP$24-$I226 &lt;=5, (7-(AP$24-$I226))/6, AND(AP$24-$I226 =6,NOT(_xlfn.IFNA(ISNUMBER(SEARCH("Rending",$L226)),FALSE))), (7-(AP$24-$I226))/6, AND(AP$24-$I226 &gt;=7,NOT(_xlfn.IFNA(ISNUMBER(SEARCH("Rending",$L226)),FALSE))), 0, AP$24-$I226 =7, (7-(AP$24-1-$I226))/6, AP$24-$I226 =8, (7-(AP$24-2-$I226))/6*2/3, AP$24-$I226 =9, (7-(AP$24-3-$I226))/6*1/3, TRUE, 0) *
IF(ISNUMBER(SEARCH("Ordinance",$L226)),7/6,1) *
IF(OR(ISNUMBER(SEARCH("Melee",$L226)),ISNUMBER(SEARCH("Bypass",$L226))),1.5,1)</f>
        <v>0</v>
      </c>
      <c r="AQ226" s="17" cm="1">
        <f t="array" ref="AQ226">$H226 *
IF(ISNUMBER(SEARCH("Rapid",$L226)),7/6,1) *
IF(OR(ISNUMBER(SEARCH("Beam",$L226)),ISNUMBER(SEARCH("Firestorm",$L226))),1, IF(ISNUMBER(SEARCH("Blast",$L226)),(4+$G226+(2-$G226)*0.5)/6*2,(4+$G226)/6)) *
_xlfn.IFS(AQ$24-$I226 &lt;=1, 5/6, AQ$24-$I226 &lt;=5, (7-(AQ$24-$I226))/6, AND(AQ$24-$I226 =6,NOT(_xlfn.IFNA(ISNUMBER(SEARCH("Rending",$L226)),FALSE))), (7-(AQ$24-$I226))/6, AND(AQ$24-$I226 &gt;=7,NOT(_xlfn.IFNA(ISNUMBER(SEARCH("Rending",$L226)),FALSE))), 0, AQ$24-$I226 =7, (7-(AQ$24-1-$I226))/6, AQ$24-$I226 =8, (7-(AQ$24-2-$I226))/6*2/3, AQ$24-$I226 =9, (7-(AQ$24-3-$I226))/6*1/3, TRUE, 0) *
IF(ISNUMBER(SEARCH("Ordinance",$L226)),7/6,1) *
IF(OR(ISNUMBER(SEARCH("Melee",$L226)),ISNUMBER(SEARCH("Bypass",$L226))),1.5,1)</f>
        <v>0</v>
      </c>
      <c r="AS226" s="16"/>
      <c r="AT226" s="16"/>
      <c r="AU226" s="16"/>
    </row>
    <row r="227" spans="1:48" x14ac:dyDescent="0.3">
      <c r="F227" s="10"/>
      <c r="G227" s="10"/>
      <c r="V227" s="16">
        <f t="shared" si="65"/>
        <v>0</v>
      </c>
      <c r="W227" s="16">
        <f t="shared" si="66"/>
        <v>0</v>
      </c>
      <c r="X227" s="17" cm="1">
        <f t="array" ref="X227">$H227 *
IF(ISNUMBER(SEARCH("Rapid",$L227)),7/6,1) *
IF(OR(ISNUMBER(SEARCH("Beam",$L227)),ISNUMBER(SEARCH("Firestorm",$L227))),1, IF(ISNUMBER(SEARCH("Blast",$L227)),(4+$F227+(2-$F227)*0.5)/6*2,(4+$F227)/6)) *
IF(ISNUMBER(SEARCH("Fusion",$L227)), _xlfn.IFS(X$24-$I227 &lt;=1, 9/10, X$24-$I227 &lt;=10,(11-(X$24-$I227))/10, X$24-$I227 &gt;=11, 0),
_xlfn.IFS(X$24-$I227 &lt;=1, 5/6, X$24-$I227 &lt;=5, (7-(X$24-$I227))/6, AND(X$24-$I227 =6,NOT(_xlfn.IFNA(ISNUMBER(SEARCH("Rending",$L227)),FALSE))), (7-(X$24-$I227))/6, AND(X$24-$I227 &gt;=7,NOT(_xlfn.IFNA(ISNUMBER(SEARCH("Rending",$L227)),FALSE))), 0, X$24-$I227 =7, (7-(X$24-1-$I227))/6, X$24-$I227 =8, (7-(X$24-2-$I227))/6*2/3, X$24-$I227 =9, (7-(X$24-3-$I227))/6*1/3, TRUE, 0)) *
IF(ISNUMBER(SEARCH("Ordinance",$L227)),7/6,1) *
IF(OR(ISNUMBER(SEARCH("Melee",$L227)),ISNUMBER(SEARCH("Bypass",$L227))),1.5,1)</f>
        <v>0</v>
      </c>
      <c r="Y227" s="17" cm="1">
        <f t="array" ref="Y227">$H227 *
IF(ISNUMBER(SEARCH("Rapid",$L227)),7/6,1) *
IF(OR(ISNUMBER(SEARCH("Beam",$L227)),ISNUMBER(SEARCH("Firestorm",$L227))),1, IF(ISNUMBER(SEARCH("Blast",$L227)),(4+$F227+(2-$F227)*0.5)/6*2,(4+$F227)/6)) *
IF(ISNUMBER(SEARCH("Fusion",$L227)), _xlfn.IFS(Y$24-$I227 &lt;=1, 9/10, Y$24-$I227 &lt;=10,(11-(Y$24-$I227))/10, Y$24-$I227 &gt;=11, 0),
_xlfn.IFS(Y$24-$I227 &lt;=1, 5/6, Y$24-$I227 &lt;=5, (7-(Y$24-$I227))/6, AND(Y$24-$I227 =6,NOT(_xlfn.IFNA(ISNUMBER(SEARCH("Rending",$L227)),FALSE))), (7-(Y$24-$I227))/6, AND(Y$24-$I227 &gt;=7,NOT(_xlfn.IFNA(ISNUMBER(SEARCH("Rending",$L227)),FALSE))), 0, Y$24-$I227 =7, (7-(Y$24-1-$I227))/6, Y$24-$I227 =8, (7-(Y$24-2-$I227))/6*2/3, Y$24-$I227 =9, (7-(Y$24-3-$I227))/6*1/3, TRUE, 0)) *
IF(ISNUMBER(SEARCH("Ordinance",$L227)),7/6,1) *
IF(OR(ISNUMBER(SEARCH("Melee",$L227)),ISNUMBER(SEARCH("Bypass",$L227))),1.5,1)</f>
        <v>0</v>
      </c>
      <c r="Z227" s="17" cm="1">
        <f t="array" ref="Z227">$H227 *
IF(ISNUMBER(SEARCH("Rapid",$L227)),7/6,1) *
IF(OR(ISNUMBER(SEARCH("Beam",$L227)),ISNUMBER(SEARCH("Firestorm",$L227))),1, IF(ISNUMBER(SEARCH("Blast",$L227)),(4+$F227+(2-$F227)*0.5)/6*2,(4+$F227)/6)) *
IF(ISNUMBER(SEARCH("Fusion",$L227)), _xlfn.IFS(Z$24-$I227 &lt;=1, 9/10, Z$24-$I227 &lt;=10,(11-(Z$24-$I227))/10, Z$24-$I227 &gt;=11, 0),
_xlfn.IFS(Z$24-$I227 &lt;=1, 5/6, Z$24-$I227 &lt;=5, (7-(Z$24-$I227))/6, AND(Z$24-$I227 =6,NOT(_xlfn.IFNA(ISNUMBER(SEARCH("Rending",$L227)),FALSE))), (7-(Z$24-$I227))/6, AND(Z$24-$I227 &gt;=7,NOT(_xlfn.IFNA(ISNUMBER(SEARCH("Rending",$L227)),FALSE))), 0, Z$24-$I227 =7, (7-(Z$24-1-$I227))/6, Z$24-$I227 =8, (7-(Z$24-2-$I227))/6*2/3, Z$24-$I227 =9, (7-(Z$24-3-$I227))/6*1/3, TRUE, 0)) *
IF(ISNUMBER(SEARCH("Ordinance",$L227)),7/6,1) *
IF(OR(ISNUMBER(SEARCH("Melee",$L227)),ISNUMBER(SEARCH("Bypass",$L227))),1.5,1)</f>
        <v>0</v>
      </c>
      <c r="AA227" s="17" cm="1">
        <f t="array" ref="AA227">$H227 *
IF(ISNUMBER(SEARCH("Rapid",$L227)),7/6,1) *
IF(OR(ISNUMBER(SEARCH("Beam",$L227)),ISNUMBER(SEARCH("Firestorm",$L227))),1, IF(ISNUMBER(SEARCH("Blast",$L227)),(4+$F227+(2-$F227)*0.5)/6*2,(4+$F227)/6)) *
IF(ISNUMBER(SEARCH("Fusion",$L227)), _xlfn.IFS(AA$24-$I227 &lt;=1, 9/10, AA$24-$I227 &lt;=10,(11-(AA$24-$I227))/10, AA$24-$I227 &gt;=11, 0),
_xlfn.IFS(AA$24-$I227 &lt;=1, 5/6, AA$24-$I227 &lt;=5, (7-(AA$24-$I227))/6, AND(AA$24-$I227 =6,NOT(_xlfn.IFNA(ISNUMBER(SEARCH("Rending",$L227)),FALSE))), (7-(AA$24-$I227))/6, AND(AA$24-$I227 &gt;=7,NOT(_xlfn.IFNA(ISNUMBER(SEARCH("Rending",$L227)),FALSE))), 0, AA$24-$I227 =7, (7-(AA$24-1-$I227))/6, AA$24-$I227 =8, (7-(AA$24-2-$I227))/6*2/3, AA$24-$I227 =9, (7-(AA$24-3-$I227))/6*1/3, TRUE, 0)) *
IF(ISNUMBER(SEARCH("Ordinance",$L227)),7/6,1) *
IF(OR(ISNUMBER(SEARCH("Melee",$L227)),ISNUMBER(SEARCH("Bypass",$L227))),1.5,1)</f>
        <v>0</v>
      </c>
      <c r="AB227" s="17" cm="1">
        <f t="array" ref="AB227">$H227 *
IF(ISNUMBER(SEARCH("Rapid",$L227)),7/6,1) *
IF(OR(ISNUMBER(SEARCH("Beam",$L227)),ISNUMBER(SEARCH("Firestorm",$L227))),1, IF(ISNUMBER(SEARCH("Blast",$L227)),(4+$F227+(2-$F227)*0.5)/6*2,(4+$F227)/6)) *
IF(ISNUMBER(SEARCH("Fusion",$L227)), _xlfn.IFS(AB$24-$I227 &lt;=1, 9/10, AB$24-$I227 &lt;=10,(11-(AB$24-$I227))/10, AB$24-$I227 &gt;=11, 0),
_xlfn.IFS(AB$24-$I227 &lt;=1, 5/6, AB$24-$I227 &lt;=5, (7-(AB$24-$I227))/6, AND(AB$24-$I227 =6,NOT(_xlfn.IFNA(ISNUMBER(SEARCH("Rending",$L227)),FALSE))), (7-(AB$24-$I227))/6, AND(AB$24-$I227 &gt;=7,NOT(_xlfn.IFNA(ISNUMBER(SEARCH("Rending",$L227)),FALSE))), 0, AB$24-$I227 =7, (7-(AB$24-1-$I227))/6, AB$24-$I227 =8, (7-(AB$24-2-$I227))/6*2/3, AB$24-$I227 =9, (7-(AB$24-3-$I227))/6*1/3, TRUE, 0)) *
IF(ISNUMBER(SEARCH("Ordinance",$L227)),7/6,1) *
IF(OR(ISNUMBER(SEARCH("Melee",$L227)),ISNUMBER(SEARCH("Bypass",$L227))),1.5,1)</f>
        <v>0</v>
      </c>
      <c r="AC227" s="17" cm="1">
        <f t="array" ref="AC227">$H227 *
IF(ISNUMBER(SEARCH("Rapid",$L227)),7/6,1) *
IF(OR(ISNUMBER(SEARCH("Beam",$L227)),ISNUMBER(SEARCH("Firestorm",$L227))),1, IF(ISNUMBER(SEARCH("Blast",$L227)),(4+$F227+(2-$F227)*0.5)/6*2,(4+$F227)/6)) *
IF(ISNUMBER(SEARCH("Fusion",$L227)), _xlfn.IFS(AC$24-$I227 &lt;=1, 9/10, AC$24-$I227 &lt;=10,(11-(AC$24-$I227))/10, AC$24-$I227 &gt;=11, 0),
_xlfn.IFS(AC$24-$I227 &lt;=1, 5/6, AC$24-$I227 &lt;=5, (7-(AC$24-$I227))/6, AND(AC$24-$I227 =6,NOT(_xlfn.IFNA(ISNUMBER(SEARCH("Rending",$L227)),FALSE))), (7-(AC$24-$I227))/6, AND(AC$24-$I227 &gt;=7,NOT(_xlfn.IFNA(ISNUMBER(SEARCH("Rending",$L227)),FALSE))), 0, AC$24-$I227 =7, (7-(AC$24-1-$I227))/6, AC$24-$I227 =8, (7-(AC$24-2-$I227))/6*2/3, AC$24-$I227 =9, (7-(AC$24-3-$I227))/6*1/3, TRUE, 0)) *
IF(ISNUMBER(SEARCH("Ordinance",$L227)),7/6,1) *
IF(OR(ISNUMBER(SEARCH("Melee",$L227)),ISNUMBER(SEARCH("Bypass",$L227))),1.5,1)</f>
        <v>0</v>
      </c>
      <c r="AD227" s="17" cm="1">
        <f t="array" ref="AD227">$H227 *
IF(ISNUMBER(SEARCH("Rapid",$L227)),7/6,1) *
IF(OR(ISNUMBER(SEARCH("Beam",$L227)),ISNUMBER(SEARCH("Firestorm",$L227))),1, IF(ISNUMBER(SEARCH("Blast",$L227)),(4+$F227+(2-$F227)*0.5)/6*2,(4+$F227)/6)) *
IF(ISNUMBER(SEARCH("Fusion",$L227)), _xlfn.IFS(AD$24-$I227 &lt;=1, 9/10, AD$24-$I227 &lt;=10,(11-(AD$24-$I227))/10, AD$24-$I227 &gt;=11, 0),
_xlfn.IFS(AD$24-$I227 &lt;=1, 5/6, AD$24-$I227 &lt;=5, (7-(AD$24-$I227))/6, AND(AD$24-$I227 =6,NOT(_xlfn.IFNA(ISNUMBER(SEARCH("Rending",$L227)),FALSE))), (7-(AD$24-$I227))/6, AND(AD$24-$I227 &gt;=7,NOT(_xlfn.IFNA(ISNUMBER(SEARCH("Rending",$L227)),FALSE))), 0, AD$24-$I227 =7, (7-(AD$24-1-$I227))/6, AD$24-$I227 =8, (7-(AD$24-2-$I227))/6*2/3, AD$24-$I227 =9, (7-(AD$24-3-$I227))/6*1/3, TRUE, 0)) *
IF(ISNUMBER(SEARCH("Ordinance",$L227)),7/6,1) *
IF(OR(ISNUMBER(SEARCH("Melee",$L227)),ISNUMBER(SEARCH("Bypass",$L227))),1.5,1)</f>
        <v>0</v>
      </c>
      <c r="AE227" s="17" cm="1">
        <f t="array" ref="AE227">$H227 *
IF(ISNUMBER(SEARCH("Rapid",$L227)),7/6,1) *
IF(OR(ISNUMBER(SEARCH("Beam",$L227)),ISNUMBER(SEARCH("Firestorm",$L227))),1, IF(ISNUMBER(SEARCH("Blast",$L227)),(4+$F227+(2-$F227)*0.5)/6*2,(4+$F227)/6)) *
IF(ISNUMBER(SEARCH("Fusion",$L227)), _xlfn.IFS(AE$24-$I227 &lt;=1, 9/10, AE$24-$I227 &lt;=10,(11-(AE$24-$I227))/10, AE$24-$I227 &gt;=11, 0),
_xlfn.IFS(AE$24-$I227 &lt;=1, 5/6, AE$24-$I227 &lt;=5, (7-(AE$24-$I227))/6, AND(AE$24-$I227 =6,NOT(_xlfn.IFNA(ISNUMBER(SEARCH("Rending",$L227)),FALSE))), (7-(AE$24-$I227))/6, AND(AE$24-$I227 &gt;=7,NOT(_xlfn.IFNA(ISNUMBER(SEARCH("Rending",$L227)),FALSE))), 0, AE$24-$I227 =7, (7-(AE$24-1-$I227))/6, AE$24-$I227 =8, (7-(AE$24-2-$I227))/6*2/3, AE$24-$I227 =9, (7-(AE$24-3-$I227))/6*1/3, TRUE, 0)) *
IF(ISNUMBER(SEARCH("Ordinance",$L227)),7/6,1) *
IF(OR(ISNUMBER(SEARCH("Melee",$L227)),ISNUMBER(SEARCH("Bypass",$L227))),1.5,1)</f>
        <v>0</v>
      </c>
      <c r="AF227" s="17" cm="1">
        <f t="array" ref="AF227">$H227 *
IF(ISNUMBER(SEARCH("Rapid",$L227)),7/6,1) *
IF(OR(ISNUMBER(SEARCH("Beam",$L227)),ISNUMBER(SEARCH("Firestorm",$L227))),1, IF(ISNUMBER(SEARCH("Blast",$L227)),(4+$F227+(2-$F227)*0.5)/6*2,(4+$F227)/6)) *
IF(ISNUMBER(SEARCH("Fusion",$L227)), _xlfn.IFS(AF$24-$I227 &lt;=1, 9/10, AF$24-$I227 &lt;=10,(11-(AF$24-$I227))/10, AF$24-$I227 &gt;=11, 0),
_xlfn.IFS(AF$24-$I227 &lt;=1, 5/6, AF$24-$I227 &lt;=5, (7-(AF$24-$I227))/6, AND(AF$24-$I227 =6,NOT(_xlfn.IFNA(ISNUMBER(SEARCH("Rending",$L227)),FALSE))), (7-(AF$24-$I227))/6, AND(AF$24-$I227 &gt;=7,NOT(_xlfn.IFNA(ISNUMBER(SEARCH("Rending",$L227)),FALSE))), 0, AF$24-$I227 =7, (7-(AF$24-1-$I227))/6, AF$24-$I227 =8, (7-(AF$24-2-$I227))/6*2/3, AF$24-$I227 =9, (7-(AF$24-3-$I227))/6*1/3, TRUE, 0)) *
IF(ISNUMBER(SEARCH("Ordinance",$L227)),7/6,1) *
IF(OR(ISNUMBER(SEARCH("Melee",$L227)),ISNUMBER(SEARCH("Bypass",$L227))),1.5,1)</f>
        <v>0</v>
      </c>
      <c r="AG227" s="16">
        <f t="shared" si="67"/>
        <v>0</v>
      </c>
      <c r="AH227" s="16">
        <f t="shared" si="68"/>
        <v>0</v>
      </c>
      <c r="AI227" s="17" cm="1">
        <f t="array" ref="AI227">$H227 *
IF(ISNUMBER(SEARCH("Rapid",$L227)),7/6,1) *
IF(OR(ISNUMBER(SEARCH("Beam",$L227)),ISNUMBER(SEARCH("Firestorm",$L227))),1, IF(ISNUMBER(SEARCH("Blast",$L227)),(4+$G227+(2-$G227)*0.5)/6*2,(4+$G227)/6)) *
_xlfn.IFS(AI$24-$I227 &lt;=1, 5/6, AI$24-$I227 &lt;=5, (7-(AI$24-$I227))/6, AND(AI$24-$I227 =6,NOT(_xlfn.IFNA(ISNUMBER(SEARCH("Rending",$L227)),FALSE))), (7-(AI$24-$I227))/6, AND(AI$24-$I227 &gt;=7,NOT(_xlfn.IFNA(ISNUMBER(SEARCH("Rending",$L227)),FALSE))), 0, AI$24-$I227 =7, (7-(AI$24-1-$I227))/6, AI$24-$I227 =8, (7-(AI$24-2-$I227))/6*2/3, AI$24-$I227 =9, (7-(AI$24-3-$I227))/6*1/3, TRUE, 0) *
IF(ISNUMBER(SEARCH("Ordinance",$L227)),7/6,1) *
IF(OR(ISNUMBER(SEARCH("Melee",$L227)),ISNUMBER(SEARCH("Bypass",$L227))),1.5,1)</f>
        <v>0</v>
      </c>
      <c r="AJ227" s="17" cm="1">
        <f t="array" ref="AJ227">$H227 *
IF(ISNUMBER(SEARCH("Rapid",$L227)),7/6,1) *
IF(OR(ISNUMBER(SEARCH("Beam",$L227)),ISNUMBER(SEARCH("Firestorm",$L227))),1, IF(ISNUMBER(SEARCH("Blast",$L227)),(4+$G227+(2-$G227)*0.5)/6*2,(4+$G227)/6)) *
_xlfn.IFS(AJ$24-$I227 &lt;=1, 5/6, AJ$24-$I227 &lt;=5, (7-(AJ$24-$I227))/6, AND(AJ$24-$I227 =6,NOT(_xlfn.IFNA(ISNUMBER(SEARCH("Rending",$L227)),FALSE))), (7-(AJ$24-$I227))/6, AND(AJ$24-$I227 &gt;=7,NOT(_xlfn.IFNA(ISNUMBER(SEARCH("Rending",$L227)),FALSE))), 0, AJ$24-$I227 =7, (7-(AJ$24-1-$I227))/6, AJ$24-$I227 =8, (7-(AJ$24-2-$I227))/6*2/3, AJ$24-$I227 =9, (7-(AJ$24-3-$I227))/6*1/3, TRUE, 0) *
IF(ISNUMBER(SEARCH("Ordinance",$L227)),7/6,1) *
IF(OR(ISNUMBER(SEARCH("Melee",$L227)),ISNUMBER(SEARCH("Bypass",$L227))),1.5,1)</f>
        <v>0</v>
      </c>
      <c r="AK227" s="17" cm="1">
        <f t="array" ref="AK227">$H227 *
IF(ISNUMBER(SEARCH("Rapid",$L227)),7/6,1) *
IF(OR(ISNUMBER(SEARCH("Beam",$L227)),ISNUMBER(SEARCH("Firestorm",$L227))),1, IF(ISNUMBER(SEARCH("Blast",$L227)),(4+$G227+(2-$G227)*0.5)/6*2,(4+$G227)/6)) *
_xlfn.IFS(AK$24-$I227 &lt;=1, 5/6, AK$24-$I227 &lt;=5, (7-(AK$24-$I227))/6, AND(AK$24-$I227 =6,NOT(_xlfn.IFNA(ISNUMBER(SEARCH("Rending",$L227)),FALSE))), (7-(AK$24-$I227))/6, AND(AK$24-$I227 &gt;=7,NOT(_xlfn.IFNA(ISNUMBER(SEARCH("Rending",$L227)),FALSE))), 0, AK$24-$I227 =7, (7-(AK$24-1-$I227))/6, AK$24-$I227 =8, (7-(AK$24-2-$I227))/6*2/3, AK$24-$I227 =9, (7-(AK$24-3-$I227))/6*1/3, TRUE, 0) *
IF(ISNUMBER(SEARCH("Ordinance",$L227)),7/6,1) *
IF(OR(ISNUMBER(SEARCH("Melee",$L227)),ISNUMBER(SEARCH("Bypass",$L227))),1.5,1)</f>
        <v>0</v>
      </c>
      <c r="AL227" s="17" cm="1">
        <f t="array" ref="AL227">$H227 *
IF(ISNUMBER(SEARCH("Rapid",$L227)),7/6,1) *
IF(OR(ISNUMBER(SEARCH("Beam",$L227)),ISNUMBER(SEARCH("Firestorm",$L227))),1, IF(ISNUMBER(SEARCH("Blast",$L227)),(4+$G227+(2-$G227)*0.5)/6*2,(4+$G227)/6)) *
_xlfn.IFS(AL$24-$I227 &lt;=1, 5/6, AL$24-$I227 &lt;=5, (7-(AL$24-$I227))/6, AND(AL$24-$I227 =6,NOT(_xlfn.IFNA(ISNUMBER(SEARCH("Rending",$L227)),FALSE))), (7-(AL$24-$I227))/6, AND(AL$24-$I227 &gt;=7,NOT(_xlfn.IFNA(ISNUMBER(SEARCH("Rending",$L227)),FALSE))), 0, AL$24-$I227 =7, (7-(AL$24-1-$I227))/6, AL$24-$I227 =8, (7-(AL$24-2-$I227))/6*2/3, AL$24-$I227 =9, (7-(AL$24-3-$I227))/6*1/3, TRUE, 0) *
IF(ISNUMBER(SEARCH("Ordinance",$L227)),7/6,1) *
IF(OR(ISNUMBER(SEARCH("Melee",$L227)),ISNUMBER(SEARCH("Bypass",$L227))),1.5,1)</f>
        <v>0</v>
      </c>
      <c r="AM227" s="17" cm="1">
        <f t="array" ref="AM227">$H227 *
IF(ISNUMBER(SEARCH("Rapid",$L227)),7/6,1) *
IF(OR(ISNUMBER(SEARCH("Beam",$L227)),ISNUMBER(SEARCH("Firestorm",$L227))),1, IF(ISNUMBER(SEARCH("Blast",$L227)),(4+$G227+(2-$G227)*0.5)/6*2,(4+$G227)/6)) *
_xlfn.IFS(AM$24-$I227 &lt;=1, 5/6, AM$24-$I227 &lt;=5, (7-(AM$24-$I227))/6, AND(AM$24-$I227 =6,NOT(_xlfn.IFNA(ISNUMBER(SEARCH("Rending",$L227)),FALSE))), (7-(AM$24-$I227))/6, AND(AM$24-$I227 &gt;=7,NOT(_xlfn.IFNA(ISNUMBER(SEARCH("Rending",$L227)),FALSE))), 0, AM$24-$I227 =7, (7-(AM$24-1-$I227))/6, AM$24-$I227 =8, (7-(AM$24-2-$I227))/6*2/3, AM$24-$I227 =9, (7-(AM$24-3-$I227))/6*1/3, TRUE, 0) *
IF(ISNUMBER(SEARCH("Ordinance",$L227)),7/6,1) *
IF(OR(ISNUMBER(SEARCH("Melee",$L227)),ISNUMBER(SEARCH("Bypass",$L227))),1.5,1)</f>
        <v>0</v>
      </c>
      <c r="AN227" s="17" cm="1">
        <f t="array" ref="AN227">$H227 *
IF(ISNUMBER(SEARCH("Rapid",$L227)),7/6,1) *
IF(OR(ISNUMBER(SEARCH("Beam",$L227)),ISNUMBER(SEARCH("Firestorm",$L227))),1, IF(ISNUMBER(SEARCH("Blast",$L227)),(4+$G227+(2-$G227)*0.5)/6*2,(4+$G227)/6)) *
_xlfn.IFS(AN$24-$I227 &lt;=1, 5/6, AN$24-$I227 &lt;=5, (7-(AN$24-$I227))/6, AND(AN$24-$I227 =6,NOT(_xlfn.IFNA(ISNUMBER(SEARCH("Rending",$L227)),FALSE))), (7-(AN$24-$I227))/6, AND(AN$24-$I227 &gt;=7,NOT(_xlfn.IFNA(ISNUMBER(SEARCH("Rending",$L227)),FALSE))), 0, AN$24-$I227 =7, (7-(AN$24-1-$I227))/6, AN$24-$I227 =8, (7-(AN$24-2-$I227))/6*2/3, AN$24-$I227 =9, (7-(AN$24-3-$I227))/6*1/3, TRUE, 0) *
IF(ISNUMBER(SEARCH("Ordinance",$L227)),7/6,1) *
IF(OR(ISNUMBER(SEARCH("Melee",$L227)),ISNUMBER(SEARCH("Bypass",$L227))),1.5,1)</f>
        <v>0</v>
      </c>
      <c r="AO227" s="17" cm="1">
        <f t="array" ref="AO227">$H227 *
IF(ISNUMBER(SEARCH("Rapid",$L227)),7/6,1) *
IF(OR(ISNUMBER(SEARCH("Beam",$L227)),ISNUMBER(SEARCH("Firestorm",$L227))),1, IF(ISNUMBER(SEARCH("Blast",$L227)),(4+$G227+(2-$G227)*0.5)/6*2,(4+$G227)/6)) *
_xlfn.IFS(AO$24-$I227 &lt;=1, 5/6, AO$24-$I227 &lt;=5, (7-(AO$24-$I227))/6, AND(AO$24-$I227 =6,NOT(_xlfn.IFNA(ISNUMBER(SEARCH("Rending",$L227)),FALSE))), (7-(AO$24-$I227))/6, AND(AO$24-$I227 &gt;=7,NOT(_xlfn.IFNA(ISNUMBER(SEARCH("Rending",$L227)),FALSE))), 0, AO$24-$I227 =7, (7-(AO$24-1-$I227))/6, AO$24-$I227 =8, (7-(AO$24-2-$I227))/6*2/3, AO$24-$I227 =9, (7-(AO$24-3-$I227))/6*1/3, TRUE, 0) *
IF(ISNUMBER(SEARCH("Ordinance",$L227)),7/6,1) *
IF(OR(ISNUMBER(SEARCH("Melee",$L227)),ISNUMBER(SEARCH("Bypass",$L227))),1.5,1)</f>
        <v>0</v>
      </c>
      <c r="AP227" s="17" cm="1">
        <f t="array" ref="AP227">$H227 *
IF(ISNUMBER(SEARCH("Rapid",$L227)),7/6,1) *
IF(OR(ISNUMBER(SEARCH("Beam",$L227)),ISNUMBER(SEARCH("Firestorm",$L227))),1, IF(ISNUMBER(SEARCH("Blast",$L227)),(4+$G227+(2-$G227)*0.5)/6*2,(4+$G227)/6)) *
_xlfn.IFS(AP$24-$I227 &lt;=1, 5/6, AP$24-$I227 &lt;=5, (7-(AP$24-$I227))/6, AND(AP$24-$I227 =6,NOT(_xlfn.IFNA(ISNUMBER(SEARCH("Rending",$L227)),FALSE))), (7-(AP$24-$I227))/6, AND(AP$24-$I227 &gt;=7,NOT(_xlfn.IFNA(ISNUMBER(SEARCH("Rending",$L227)),FALSE))), 0, AP$24-$I227 =7, (7-(AP$24-1-$I227))/6, AP$24-$I227 =8, (7-(AP$24-2-$I227))/6*2/3, AP$24-$I227 =9, (7-(AP$24-3-$I227))/6*1/3, TRUE, 0) *
IF(ISNUMBER(SEARCH("Ordinance",$L227)),7/6,1) *
IF(OR(ISNUMBER(SEARCH("Melee",$L227)),ISNUMBER(SEARCH("Bypass",$L227))),1.5,1)</f>
        <v>0</v>
      </c>
      <c r="AQ227" s="17" cm="1">
        <f t="array" ref="AQ227">$H227 *
IF(ISNUMBER(SEARCH("Rapid",$L227)),7/6,1) *
IF(OR(ISNUMBER(SEARCH("Beam",$L227)),ISNUMBER(SEARCH("Firestorm",$L227))),1, IF(ISNUMBER(SEARCH("Blast",$L227)),(4+$G227+(2-$G227)*0.5)/6*2,(4+$G227)/6)) *
_xlfn.IFS(AQ$24-$I227 &lt;=1, 5/6, AQ$24-$I227 &lt;=5, (7-(AQ$24-$I227))/6, AND(AQ$24-$I227 =6,NOT(_xlfn.IFNA(ISNUMBER(SEARCH("Rending",$L227)),FALSE))), (7-(AQ$24-$I227))/6, AND(AQ$24-$I227 &gt;=7,NOT(_xlfn.IFNA(ISNUMBER(SEARCH("Rending",$L227)),FALSE))), 0, AQ$24-$I227 =7, (7-(AQ$24-1-$I227))/6, AQ$24-$I227 =8, (7-(AQ$24-2-$I227))/6*2/3, AQ$24-$I227 =9, (7-(AQ$24-3-$I227))/6*1/3, TRUE, 0) *
IF(ISNUMBER(SEARCH("Ordinance",$L227)),7/6,1) *
IF(OR(ISNUMBER(SEARCH("Melee",$L227)),ISNUMBER(SEARCH("Bypass",$L227))),1.5,1)</f>
        <v>0</v>
      </c>
      <c r="AS227" s="16"/>
      <c r="AT227" s="16"/>
      <c r="AU227" s="16"/>
    </row>
    <row r="228" spans="1:48" x14ac:dyDescent="0.3">
      <c r="F228" s="10"/>
      <c r="G228" s="10"/>
      <c r="V228" s="16">
        <f t="shared" si="65"/>
        <v>0</v>
      </c>
      <c r="W228" s="16">
        <f t="shared" si="66"/>
        <v>0</v>
      </c>
      <c r="X228" s="17" cm="1">
        <f t="array" ref="X228">$H228 *
IF(ISNUMBER(SEARCH("Rapid",$L228)),7/6,1) *
IF(OR(ISNUMBER(SEARCH("Beam",$L228)),ISNUMBER(SEARCH("Firestorm",$L228))),1, IF(ISNUMBER(SEARCH("Blast",$L228)),(4+$F228+(2-$F228)*0.5)/6*2,(4+$F228)/6)) *
IF(ISNUMBER(SEARCH("Fusion",$L228)), _xlfn.IFS(X$24-$I228 &lt;=1, 9/10, X$24-$I228 &lt;=10,(11-(X$24-$I228))/10, X$24-$I228 &gt;=11, 0),
_xlfn.IFS(X$24-$I228 &lt;=1, 5/6, X$24-$I228 &lt;=5, (7-(X$24-$I228))/6, AND(X$24-$I228 =6,NOT(_xlfn.IFNA(ISNUMBER(SEARCH("Rending",$L228)),FALSE))), (7-(X$24-$I228))/6, AND(X$24-$I228 &gt;=7,NOT(_xlfn.IFNA(ISNUMBER(SEARCH("Rending",$L228)),FALSE))), 0, X$24-$I228 =7, (7-(X$24-1-$I228))/6, X$24-$I228 =8, (7-(X$24-2-$I228))/6*2/3, X$24-$I228 =9, (7-(X$24-3-$I228))/6*1/3, TRUE, 0)) *
IF(ISNUMBER(SEARCH("Ordinance",$L228)),7/6,1) *
IF(OR(ISNUMBER(SEARCH("Melee",$L228)),ISNUMBER(SEARCH("Bypass",$L228))),1.5,1)</f>
        <v>0</v>
      </c>
      <c r="Y228" s="17" cm="1">
        <f t="array" ref="Y228">$H228 *
IF(ISNUMBER(SEARCH("Rapid",$L228)),7/6,1) *
IF(OR(ISNUMBER(SEARCH("Beam",$L228)),ISNUMBER(SEARCH("Firestorm",$L228))),1, IF(ISNUMBER(SEARCH("Blast",$L228)),(4+$F228+(2-$F228)*0.5)/6*2,(4+$F228)/6)) *
IF(ISNUMBER(SEARCH("Fusion",$L228)), _xlfn.IFS(Y$24-$I228 &lt;=1, 9/10, Y$24-$I228 &lt;=10,(11-(Y$24-$I228))/10, Y$24-$I228 &gt;=11, 0),
_xlfn.IFS(Y$24-$I228 &lt;=1, 5/6, Y$24-$I228 &lt;=5, (7-(Y$24-$I228))/6, AND(Y$24-$I228 =6,NOT(_xlfn.IFNA(ISNUMBER(SEARCH("Rending",$L228)),FALSE))), (7-(Y$24-$I228))/6, AND(Y$24-$I228 &gt;=7,NOT(_xlfn.IFNA(ISNUMBER(SEARCH("Rending",$L228)),FALSE))), 0, Y$24-$I228 =7, (7-(Y$24-1-$I228))/6, Y$24-$I228 =8, (7-(Y$24-2-$I228))/6*2/3, Y$24-$I228 =9, (7-(Y$24-3-$I228))/6*1/3, TRUE, 0)) *
IF(ISNUMBER(SEARCH("Ordinance",$L228)),7/6,1) *
IF(OR(ISNUMBER(SEARCH("Melee",$L228)),ISNUMBER(SEARCH("Bypass",$L228))),1.5,1)</f>
        <v>0</v>
      </c>
      <c r="Z228" s="17" cm="1">
        <f t="array" ref="Z228">$H228 *
IF(ISNUMBER(SEARCH("Rapid",$L228)),7/6,1) *
IF(OR(ISNUMBER(SEARCH("Beam",$L228)),ISNUMBER(SEARCH("Firestorm",$L228))),1, IF(ISNUMBER(SEARCH("Blast",$L228)),(4+$F228+(2-$F228)*0.5)/6*2,(4+$F228)/6)) *
IF(ISNUMBER(SEARCH("Fusion",$L228)), _xlfn.IFS(Z$24-$I228 &lt;=1, 9/10, Z$24-$I228 &lt;=10,(11-(Z$24-$I228))/10, Z$24-$I228 &gt;=11, 0),
_xlfn.IFS(Z$24-$I228 &lt;=1, 5/6, Z$24-$I228 &lt;=5, (7-(Z$24-$I228))/6, AND(Z$24-$I228 =6,NOT(_xlfn.IFNA(ISNUMBER(SEARCH("Rending",$L228)),FALSE))), (7-(Z$24-$I228))/6, AND(Z$24-$I228 &gt;=7,NOT(_xlfn.IFNA(ISNUMBER(SEARCH("Rending",$L228)),FALSE))), 0, Z$24-$I228 =7, (7-(Z$24-1-$I228))/6, Z$24-$I228 =8, (7-(Z$24-2-$I228))/6*2/3, Z$24-$I228 =9, (7-(Z$24-3-$I228))/6*1/3, TRUE, 0)) *
IF(ISNUMBER(SEARCH("Ordinance",$L228)),7/6,1) *
IF(OR(ISNUMBER(SEARCH("Melee",$L228)),ISNUMBER(SEARCH("Bypass",$L228))),1.5,1)</f>
        <v>0</v>
      </c>
      <c r="AA228" s="17" cm="1">
        <f t="array" ref="AA228">$H228 *
IF(ISNUMBER(SEARCH("Rapid",$L228)),7/6,1) *
IF(OR(ISNUMBER(SEARCH("Beam",$L228)),ISNUMBER(SEARCH("Firestorm",$L228))),1, IF(ISNUMBER(SEARCH("Blast",$L228)),(4+$F228+(2-$F228)*0.5)/6*2,(4+$F228)/6)) *
IF(ISNUMBER(SEARCH("Fusion",$L228)), _xlfn.IFS(AA$24-$I228 &lt;=1, 9/10, AA$24-$I228 &lt;=10,(11-(AA$24-$I228))/10, AA$24-$I228 &gt;=11, 0),
_xlfn.IFS(AA$24-$I228 &lt;=1, 5/6, AA$24-$I228 &lt;=5, (7-(AA$24-$I228))/6, AND(AA$24-$I228 =6,NOT(_xlfn.IFNA(ISNUMBER(SEARCH("Rending",$L228)),FALSE))), (7-(AA$24-$I228))/6, AND(AA$24-$I228 &gt;=7,NOT(_xlfn.IFNA(ISNUMBER(SEARCH("Rending",$L228)),FALSE))), 0, AA$24-$I228 =7, (7-(AA$24-1-$I228))/6, AA$24-$I228 =8, (7-(AA$24-2-$I228))/6*2/3, AA$24-$I228 =9, (7-(AA$24-3-$I228))/6*1/3, TRUE, 0)) *
IF(ISNUMBER(SEARCH("Ordinance",$L228)),7/6,1) *
IF(OR(ISNUMBER(SEARCH("Melee",$L228)),ISNUMBER(SEARCH("Bypass",$L228))),1.5,1)</f>
        <v>0</v>
      </c>
      <c r="AB228" s="17" cm="1">
        <f t="array" ref="AB228">$H228 *
IF(ISNUMBER(SEARCH("Rapid",$L228)),7/6,1) *
IF(OR(ISNUMBER(SEARCH("Beam",$L228)),ISNUMBER(SEARCH("Firestorm",$L228))),1, IF(ISNUMBER(SEARCH("Blast",$L228)),(4+$F228+(2-$F228)*0.5)/6*2,(4+$F228)/6)) *
IF(ISNUMBER(SEARCH("Fusion",$L228)), _xlfn.IFS(AB$24-$I228 &lt;=1, 9/10, AB$24-$I228 &lt;=10,(11-(AB$24-$I228))/10, AB$24-$I228 &gt;=11, 0),
_xlfn.IFS(AB$24-$I228 &lt;=1, 5/6, AB$24-$I228 &lt;=5, (7-(AB$24-$I228))/6, AND(AB$24-$I228 =6,NOT(_xlfn.IFNA(ISNUMBER(SEARCH("Rending",$L228)),FALSE))), (7-(AB$24-$I228))/6, AND(AB$24-$I228 &gt;=7,NOT(_xlfn.IFNA(ISNUMBER(SEARCH("Rending",$L228)),FALSE))), 0, AB$24-$I228 =7, (7-(AB$24-1-$I228))/6, AB$24-$I228 =8, (7-(AB$24-2-$I228))/6*2/3, AB$24-$I228 =9, (7-(AB$24-3-$I228))/6*1/3, TRUE, 0)) *
IF(ISNUMBER(SEARCH("Ordinance",$L228)),7/6,1) *
IF(OR(ISNUMBER(SEARCH("Melee",$L228)),ISNUMBER(SEARCH("Bypass",$L228))),1.5,1)</f>
        <v>0</v>
      </c>
      <c r="AC228" s="17" cm="1">
        <f t="array" ref="AC228">$H228 *
IF(ISNUMBER(SEARCH("Rapid",$L228)),7/6,1) *
IF(OR(ISNUMBER(SEARCH("Beam",$L228)),ISNUMBER(SEARCH("Firestorm",$L228))),1, IF(ISNUMBER(SEARCH("Blast",$L228)),(4+$F228+(2-$F228)*0.5)/6*2,(4+$F228)/6)) *
IF(ISNUMBER(SEARCH("Fusion",$L228)), _xlfn.IFS(AC$24-$I228 &lt;=1, 9/10, AC$24-$I228 &lt;=10,(11-(AC$24-$I228))/10, AC$24-$I228 &gt;=11, 0),
_xlfn.IFS(AC$24-$I228 &lt;=1, 5/6, AC$24-$I228 &lt;=5, (7-(AC$24-$I228))/6, AND(AC$24-$I228 =6,NOT(_xlfn.IFNA(ISNUMBER(SEARCH("Rending",$L228)),FALSE))), (7-(AC$24-$I228))/6, AND(AC$24-$I228 &gt;=7,NOT(_xlfn.IFNA(ISNUMBER(SEARCH("Rending",$L228)),FALSE))), 0, AC$24-$I228 =7, (7-(AC$24-1-$I228))/6, AC$24-$I228 =8, (7-(AC$24-2-$I228))/6*2/3, AC$24-$I228 =9, (7-(AC$24-3-$I228))/6*1/3, TRUE, 0)) *
IF(ISNUMBER(SEARCH("Ordinance",$L228)),7/6,1) *
IF(OR(ISNUMBER(SEARCH("Melee",$L228)),ISNUMBER(SEARCH("Bypass",$L228))),1.5,1)</f>
        <v>0</v>
      </c>
      <c r="AD228" s="17" cm="1">
        <f t="array" ref="AD228">$H228 *
IF(ISNUMBER(SEARCH("Rapid",$L228)),7/6,1) *
IF(OR(ISNUMBER(SEARCH("Beam",$L228)),ISNUMBER(SEARCH("Firestorm",$L228))),1, IF(ISNUMBER(SEARCH("Blast",$L228)),(4+$F228+(2-$F228)*0.5)/6*2,(4+$F228)/6)) *
IF(ISNUMBER(SEARCH("Fusion",$L228)), _xlfn.IFS(AD$24-$I228 &lt;=1, 9/10, AD$24-$I228 &lt;=10,(11-(AD$24-$I228))/10, AD$24-$I228 &gt;=11, 0),
_xlfn.IFS(AD$24-$I228 &lt;=1, 5/6, AD$24-$I228 &lt;=5, (7-(AD$24-$I228))/6, AND(AD$24-$I228 =6,NOT(_xlfn.IFNA(ISNUMBER(SEARCH("Rending",$L228)),FALSE))), (7-(AD$24-$I228))/6, AND(AD$24-$I228 &gt;=7,NOT(_xlfn.IFNA(ISNUMBER(SEARCH("Rending",$L228)),FALSE))), 0, AD$24-$I228 =7, (7-(AD$24-1-$I228))/6, AD$24-$I228 =8, (7-(AD$24-2-$I228))/6*2/3, AD$24-$I228 =9, (7-(AD$24-3-$I228))/6*1/3, TRUE, 0)) *
IF(ISNUMBER(SEARCH("Ordinance",$L228)),7/6,1) *
IF(OR(ISNUMBER(SEARCH("Melee",$L228)),ISNUMBER(SEARCH("Bypass",$L228))),1.5,1)</f>
        <v>0</v>
      </c>
      <c r="AE228" s="17" cm="1">
        <f t="array" ref="AE228">$H228 *
IF(ISNUMBER(SEARCH("Rapid",$L228)),7/6,1) *
IF(OR(ISNUMBER(SEARCH("Beam",$L228)),ISNUMBER(SEARCH("Firestorm",$L228))),1, IF(ISNUMBER(SEARCH("Blast",$L228)),(4+$F228+(2-$F228)*0.5)/6*2,(4+$F228)/6)) *
IF(ISNUMBER(SEARCH("Fusion",$L228)), _xlfn.IFS(AE$24-$I228 &lt;=1, 9/10, AE$24-$I228 &lt;=10,(11-(AE$24-$I228))/10, AE$24-$I228 &gt;=11, 0),
_xlfn.IFS(AE$24-$I228 &lt;=1, 5/6, AE$24-$I228 &lt;=5, (7-(AE$24-$I228))/6, AND(AE$24-$I228 =6,NOT(_xlfn.IFNA(ISNUMBER(SEARCH("Rending",$L228)),FALSE))), (7-(AE$24-$I228))/6, AND(AE$24-$I228 &gt;=7,NOT(_xlfn.IFNA(ISNUMBER(SEARCH("Rending",$L228)),FALSE))), 0, AE$24-$I228 =7, (7-(AE$24-1-$I228))/6, AE$24-$I228 =8, (7-(AE$24-2-$I228))/6*2/3, AE$24-$I228 =9, (7-(AE$24-3-$I228))/6*1/3, TRUE, 0)) *
IF(ISNUMBER(SEARCH("Ordinance",$L228)),7/6,1) *
IF(OR(ISNUMBER(SEARCH("Melee",$L228)),ISNUMBER(SEARCH("Bypass",$L228))),1.5,1)</f>
        <v>0</v>
      </c>
      <c r="AF228" s="17" cm="1">
        <f t="array" ref="AF228">$H228 *
IF(ISNUMBER(SEARCH("Rapid",$L228)),7/6,1) *
IF(OR(ISNUMBER(SEARCH("Beam",$L228)),ISNUMBER(SEARCH("Firestorm",$L228))),1, IF(ISNUMBER(SEARCH("Blast",$L228)),(4+$F228+(2-$F228)*0.5)/6*2,(4+$F228)/6)) *
IF(ISNUMBER(SEARCH("Fusion",$L228)), _xlfn.IFS(AF$24-$I228 &lt;=1, 9/10, AF$24-$I228 &lt;=10,(11-(AF$24-$I228))/10, AF$24-$I228 &gt;=11, 0),
_xlfn.IFS(AF$24-$I228 &lt;=1, 5/6, AF$24-$I228 &lt;=5, (7-(AF$24-$I228))/6, AND(AF$24-$I228 =6,NOT(_xlfn.IFNA(ISNUMBER(SEARCH("Rending",$L228)),FALSE))), (7-(AF$24-$I228))/6, AND(AF$24-$I228 &gt;=7,NOT(_xlfn.IFNA(ISNUMBER(SEARCH("Rending",$L228)),FALSE))), 0, AF$24-$I228 =7, (7-(AF$24-1-$I228))/6, AF$24-$I228 =8, (7-(AF$24-2-$I228))/6*2/3, AF$24-$I228 =9, (7-(AF$24-3-$I228))/6*1/3, TRUE, 0)) *
IF(ISNUMBER(SEARCH("Ordinance",$L228)),7/6,1) *
IF(OR(ISNUMBER(SEARCH("Melee",$L228)),ISNUMBER(SEARCH("Bypass",$L228))),1.5,1)</f>
        <v>0</v>
      </c>
      <c r="AG228" s="16">
        <f t="shared" si="67"/>
        <v>0</v>
      </c>
      <c r="AH228" s="16">
        <f t="shared" si="68"/>
        <v>0</v>
      </c>
      <c r="AI228" s="17" cm="1">
        <f t="array" ref="AI228">$H228 *
IF(ISNUMBER(SEARCH("Rapid",$L228)),7/6,1) *
IF(OR(ISNUMBER(SEARCH("Beam",$L228)),ISNUMBER(SEARCH("Firestorm",$L228))),1, IF(ISNUMBER(SEARCH("Blast",$L228)),(4+$G228+(2-$G228)*0.5)/6*2,(4+$G228)/6)) *
_xlfn.IFS(AI$24-$I228 &lt;=1, 5/6, AI$24-$I228 &lt;=5, (7-(AI$24-$I228))/6, AND(AI$24-$I228 =6,NOT(_xlfn.IFNA(ISNUMBER(SEARCH("Rending",$L228)),FALSE))), (7-(AI$24-$I228))/6, AND(AI$24-$I228 &gt;=7,NOT(_xlfn.IFNA(ISNUMBER(SEARCH("Rending",$L228)),FALSE))), 0, AI$24-$I228 =7, (7-(AI$24-1-$I228))/6, AI$24-$I228 =8, (7-(AI$24-2-$I228))/6*2/3, AI$24-$I228 =9, (7-(AI$24-3-$I228))/6*1/3, TRUE, 0) *
IF(ISNUMBER(SEARCH("Ordinance",$L228)),7/6,1) *
IF(OR(ISNUMBER(SEARCH("Melee",$L228)),ISNUMBER(SEARCH("Bypass",$L228))),1.5,1)</f>
        <v>0</v>
      </c>
      <c r="AJ228" s="17" cm="1">
        <f t="array" ref="AJ228">$H228 *
IF(ISNUMBER(SEARCH("Rapid",$L228)),7/6,1) *
IF(OR(ISNUMBER(SEARCH("Beam",$L228)),ISNUMBER(SEARCH("Firestorm",$L228))),1, IF(ISNUMBER(SEARCH("Blast",$L228)),(4+$G228+(2-$G228)*0.5)/6*2,(4+$G228)/6)) *
_xlfn.IFS(AJ$24-$I228 &lt;=1, 5/6, AJ$24-$I228 &lt;=5, (7-(AJ$24-$I228))/6, AND(AJ$24-$I228 =6,NOT(_xlfn.IFNA(ISNUMBER(SEARCH("Rending",$L228)),FALSE))), (7-(AJ$24-$I228))/6, AND(AJ$24-$I228 &gt;=7,NOT(_xlfn.IFNA(ISNUMBER(SEARCH("Rending",$L228)),FALSE))), 0, AJ$24-$I228 =7, (7-(AJ$24-1-$I228))/6, AJ$24-$I228 =8, (7-(AJ$24-2-$I228))/6*2/3, AJ$24-$I228 =9, (7-(AJ$24-3-$I228))/6*1/3, TRUE, 0) *
IF(ISNUMBER(SEARCH("Ordinance",$L228)),7/6,1) *
IF(OR(ISNUMBER(SEARCH("Melee",$L228)),ISNUMBER(SEARCH("Bypass",$L228))),1.5,1)</f>
        <v>0</v>
      </c>
      <c r="AK228" s="17" cm="1">
        <f t="array" ref="AK228">$H228 *
IF(ISNUMBER(SEARCH("Rapid",$L228)),7/6,1) *
IF(OR(ISNUMBER(SEARCH("Beam",$L228)),ISNUMBER(SEARCH("Firestorm",$L228))),1, IF(ISNUMBER(SEARCH("Blast",$L228)),(4+$G228+(2-$G228)*0.5)/6*2,(4+$G228)/6)) *
_xlfn.IFS(AK$24-$I228 &lt;=1, 5/6, AK$24-$I228 &lt;=5, (7-(AK$24-$I228))/6, AND(AK$24-$I228 =6,NOT(_xlfn.IFNA(ISNUMBER(SEARCH("Rending",$L228)),FALSE))), (7-(AK$24-$I228))/6, AND(AK$24-$I228 &gt;=7,NOT(_xlfn.IFNA(ISNUMBER(SEARCH("Rending",$L228)),FALSE))), 0, AK$24-$I228 =7, (7-(AK$24-1-$I228))/6, AK$24-$I228 =8, (7-(AK$24-2-$I228))/6*2/3, AK$24-$I228 =9, (7-(AK$24-3-$I228))/6*1/3, TRUE, 0) *
IF(ISNUMBER(SEARCH("Ordinance",$L228)),7/6,1) *
IF(OR(ISNUMBER(SEARCH("Melee",$L228)),ISNUMBER(SEARCH("Bypass",$L228))),1.5,1)</f>
        <v>0</v>
      </c>
      <c r="AL228" s="17" cm="1">
        <f t="array" ref="AL228">$H228 *
IF(ISNUMBER(SEARCH("Rapid",$L228)),7/6,1) *
IF(OR(ISNUMBER(SEARCH("Beam",$L228)),ISNUMBER(SEARCH("Firestorm",$L228))),1, IF(ISNUMBER(SEARCH("Blast",$L228)),(4+$G228+(2-$G228)*0.5)/6*2,(4+$G228)/6)) *
_xlfn.IFS(AL$24-$I228 &lt;=1, 5/6, AL$24-$I228 &lt;=5, (7-(AL$24-$I228))/6, AND(AL$24-$I228 =6,NOT(_xlfn.IFNA(ISNUMBER(SEARCH("Rending",$L228)),FALSE))), (7-(AL$24-$I228))/6, AND(AL$24-$I228 &gt;=7,NOT(_xlfn.IFNA(ISNUMBER(SEARCH("Rending",$L228)),FALSE))), 0, AL$24-$I228 =7, (7-(AL$24-1-$I228))/6, AL$24-$I228 =8, (7-(AL$24-2-$I228))/6*2/3, AL$24-$I228 =9, (7-(AL$24-3-$I228))/6*1/3, TRUE, 0) *
IF(ISNUMBER(SEARCH("Ordinance",$L228)),7/6,1) *
IF(OR(ISNUMBER(SEARCH("Melee",$L228)),ISNUMBER(SEARCH("Bypass",$L228))),1.5,1)</f>
        <v>0</v>
      </c>
      <c r="AM228" s="17" cm="1">
        <f t="array" ref="AM228">$H228 *
IF(ISNUMBER(SEARCH("Rapid",$L228)),7/6,1) *
IF(OR(ISNUMBER(SEARCH("Beam",$L228)),ISNUMBER(SEARCH("Firestorm",$L228))),1, IF(ISNUMBER(SEARCH("Blast",$L228)),(4+$G228+(2-$G228)*0.5)/6*2,(4+$G228)/6)) *
_xlfn.IFS(AM$24-$I228 &lt;=1, 5/6, AM$24-$I228 &lt;=5, (7-(AM$24-$I228))/6, AND(AM$24-$I228 =6,NOT(_xlfn.IFNA(ISNUMBER(SEARCH("Rending",$L228)),FALSE))), (7-(AM$24-$I228))/6, AND(AM$24-$I228 &gt;=7,NOT(_xlfn.IFNA(ISNUMBER(SEARCH("Rending",$L228)),FALSE))), 0, AM$24-$I228 =7, (7-(AM$24-1-$I228))/6, AM$24-$I228 =8, (7-(AM$24-2-$I228))/6*2/3, AM$24-$I228 =9, (7-(AM$24-3-$I228))/6*1/3, TRUE, 0) *
IF(ISNUMBER(SEARCH("Ordinance",$L228)),7/6,1) *
IF(OR(ISNUMBER(SEARCH("Melee",$L228)),ISNUMBER(SEARCH("Bypass",$L228))),1.5,1)</f>
        <v>0</v>
      </c>
      <c r="AN228" s="17" cm="1">
        <f t="array" ref="AN228">$H228 *
IF(ISNUMBER(SEARCH("Rapid",$L228)),7/6,1) *
IF(OR(ISNUMBER(SEARCH("Beam",$L228)),ISNUMBER(SEARCH("Firestorm",$L228))),1, IF(ISNUMBER(SEARCH("Blast",$L228)),(4+$G228+(2-$G228)*0.5)/6*2,(4+$G228)/6)) *
_xlfn.IFS(AN$24-$I228 &lt;=1, 5/6, AN$24-$I228 &lt;=5, (7-(AN$24-$I228))/6, AND(AN$24-$I228 =6,NOT(_xlfn.IFNA(ISNUMBER(SEARCH("Rending",$L228)),FALSE))), (7-(AN$24-$I228))/6, AND(AN$24-$I228 &gt;=7,NOT(_xlfn.IFNA(ISNUMBER(SEARCH("Rending",$L228)),FALSE))), 0, AN$24-$I228 =7, (7-(AN$24-1-$I228))/6, AN$24-$I228 =8, (7-(AN$24-2-$I228))/6*2/3, AN$24-$I228 =9, (7-(AN$24-3-$I228))/6*1/3, TRUE, 0) *
IF(ISNUMBER(SEARCH("Ordinance",$L228)),7/6,1) *
IF(OR(ISNUMBER(SEARCH("Melee",$L228)),ISNUMBER(SEARCH("Bypass",$L228))),1.5,1)</f>
        <v>0</v>
      </c>
      <c r="AO228" s="17" cm="1">
        <f t="array" ref="AO228">$H228 *
IF(ISNUMBER(SEARCH("Rapid",$L228)),7/6,1) *
IF(OR(ISNUMBER(SEARCH("Beam",$L228)),ISNUMBER(SEARCH("Firestorm",$L228))),1, IF(ISNUMBER(SEARCH("Blast",$L228)),(4+$G228+(2-$G228)*0.5)/6*2,(4+$G228)/6)) *
_xlfn.IFS(AO$24-$I228 &lt;=1, 5/6, AO$24-$I228 &lt;=5, (7-(AO$24-$I228))/6, AND(AO$24-$I228 =6,NOT(_xlfn.IFNA(ISNUMBER(SEARCH("Rending",$L228)),FALSE))), (7-(AO$24-$I228))/6, AND(AO$24-$I228 &gt;=7,NOT(_xlfn.IFNA(ISNUMBER(SEARCH("Rending",$L228)),FALSE))), 0, AO$24-$I228 =7, (7-(AO$24-1-$I228))/6, AO$24-$I228 =8, (7-(AO$24-2-$I228))/6*2/3, AO$24-$I228 =9, (7-(AO$24-3-$I228))/6*1/3, TRUE, 0) *
IF(ISNUMBER(SEARCH("Ordinance",$L228)),7/6,1) *
IF(OR(ISNUMBER(SEARCH("Melee",$L228)),ISNUMBER(SEARCH("Bypass",$L228))),1.5,1)</f>
        <v>0</v>
      </c>
      <c r="AP228" s="17" cm="1">
        <f t="array" ref="AP228">$H228 *
IF(ISNUMBER(SEARCH("Rapid",$L228)),7/6,1) *
IF(OR(ISNUMBER(SEARCH("Beam",$L228)),ISNUMBER(SEARCH("Firestorm",$L228))),1, IF(ISNUMBER(SEARCH("Blast",$L228)),(4+$G228+(2-$G228)*0.5)/6*2,(4+$G228)/6)) *
_xlfn.IFS(AP$24-$I228 &lt;=1, 5/6, AP$24-$I228 &lt;=5, (7-(AP$24-$I228))/6, AND(AP$24-$I228 =6,NOT(_xlfn.IFNA(ISNUMBER(SEARCH("Rending",$L228)),FALSE))), (7-(AP$24-$I228))/6, AND(AP$24-$I228 &gt;=7,NOT(_xlfn.IFNA(ISNUMBER(SEARCH("Rending",$L228)),FALSE))), 0, AP$24-$I228 =7, (7-(AP$24-1-$I228))/6, AP$24-$I228 =8, (7-(AP$24-2-$I228))/6*2/3, AP$24-$I228 =9, (7-(AP$24-3-$I228))/6*1/3, TRUE, 0) *
IF(ISNUMBER(SEARCH("Ordinance",$L228)),7/6,1) *
IF(OR(ISNUMBER(SEARCH("Melee",$L228)),ISNUMBER(SEARCH("Bypass",$L228))),1.5,1)</f>
        <v>0</v>
      </c>
      <c r="AQ228" s="17" cm="1">
        <f t="array" ref="AQ228">$H228 *
IF(ISNUMBER(SEARCH("Rapid",$L228)),7/6,1) *
IF(OR(ISNUMBER(SEARCH("Beam",$L228)),ISNUMBER(SEARCH("Firestorm",$L228))),1, IF(ISNUMBER(SEARCH("Blast",$L228)),(4+$G228+(2-$G228)*0.5)/6*2,(4+$G228)/6)) *
_xlfn.IFS(AQ$24-$I228 &lt;=1, 5/6, AQ$24-$I228 &lt;=5, (7-(AQ$24-$I228))/6, AND(AQ$24-$I228 =6,NOT(_xlfn.IFNA(ISNUMBER(SEARCH("Rending",$L228)),FALSE))), (7-(AQ$24-$I228))/6, AND(AQ$24-$I228 &gt;=7,NOT(_xlfn.IFNA(ISNUMBER(SEARCH("Rending",$L228)),FALSE))), 0, AQ$24-$I228 =7, (7-(AQ$24-1-$I228))/6, AQ$24-$I228 =8, (7-(AQ$24-2-$I228))/6*2/3, AQ$24-$I228 =9, (7-(AQ$24-3-$I228))/6*1/3, TRUE, 0) *
IF(ISNUMBER(SEARCH("Ordinance",$L228)),7/6,1) *
IF(OR(ISNUMBER(SEARCH("Melee",$L228)),ISNUMBER(SEARCH("Bypass",$L228))),1.5,1)</f>
        <v>0</v>
      </c>
    </row>
    <row r="229" spans="1:48" x14ac:dyDescent="0.3">
      <c r="F229" s="10"/>
      <c r="G229" s="10"/>
      <c r="V229" s="16">
        <f t="shared" si="65"/>
        <v>0</v>
      </c>
      <c r="W229" s="16">
        <f t="shared" si="66"/>
        <v>0</v>
      </c>
      <c r="X229" s="17" cm="1">
        <f t="array" ref="X229">$H229 *
IF(ISNUMBER(SEARCH("Rapid",$L229)),7/6,1) *
IF(OR(ISNUMBER(SEARCH("Beam",$L229)),ISNUMBER(SEARCH("Firestorm",$L229))),1, IF(ISNUMBER(SEARCH("Blast",$L229)),(4+$F229+(2-$F229)*0.5)/6*2,(4+$F229)/6)) *
IF(ISNUMBER(SEARCH("Fusion",$L229)), _xlfn.IFS(X$24-$I229 &lt;=1, 9/10, X$24-$I229 &lt;=10,(11-(X$24-$I229))/10, X$24-$I229 &gt;=11, 0),
_xlfn.IFS(X$24-$I229 &lt;=1, 5/6, X$24-$I229 &lt;=5, (7-(X$24-$I229))/6, AND(X$24-$I229 =6,NOT(_xlfn.IFNA(ISNUMBER(SEARCH("Rending",$L229)),FALSE))), (7-(X$24-$I229))/6, AND(X$24-$I229 &gt;=7,NOT(_xlfn.IFNA(ISNUMBER(SEARCH("Rending",$L229)),FALSE))), 0, X$24-$I229 =7, (7-(X$24-1-$I229))/6, X$24-$I229 =8, (7-(X$24-2-$I229))/6*2/3, X$24-$I229 =9, (7-(X$24-3-$I229))/6*1/3, TRUE, 0)) *
IF(ISNUMBER(SEARCH("Ordinance",$L229)),7/6,1) *
IF(OR(ISNUMBER(SEARCH("Melee",$L229)),ISNUMBER(SEARCH("Bypass",$L229))),1.5,1)</f>
        <v>0</v>
      </c>
      <c r="Y229" s="17" cm="1">
        <f t="array" ref="Y229">$H229 *
IF(ISNUMBER(SEARCH("Rapid",$L229)),7/6,1) *
IF(OR(ISNUMBER(SEARCH("Beam",$L229)),ISNUMBER(SEARCH("Firestorm",$L229))),1, IF(ISNUMBER(SEARCH("Blast",$L229)),(4+$F229+(2-$F229)*0.5)/6*2,(4+$F229)/6)) *
IF(ISNUMBER(SEARCH("Fusion",$L229)), _xlfn.IFS(Y$24-$I229 &lt;=1, 9/10, Y$24-$I229 &lt;=10,(11-(Y$24-$I229))/10, Y$24-$I229 &gt;=11, 0),
_xlfn.IFS(Y$24-$I229 &lt;=1, 5/6, Y$24-$I229 &lt;=5, (7-(Y$24-$I229))/6, AND(Y$24-$I229 =6,NOT(_xlfn.IFNA(ISNUMBER(SEARCH("Rending",$L229)),FALSE))), (7-(Y$24-$I229))/6, AND(Y$24-$I229 &gt;=7,NOT(_xlfn.IFNA(ISNUMBER(SEARCH("Rending",$L229)),FALSE))), 0, Y$24-$I229 =7, (7-(Y$24-1-$I229))/6, Y$24-$I229 =8, (7-(Y$24-2-$I229))/6*2/3, Y$24-$I229 =9, (7-(Y$24-3-$I229))/6*1/3, TRUE, 0)) *
IF(ISNUMBER(SEARCH("Ordinance",$L229)),7/6,1) *
IF(OR(ISNUMBER(SEARCH("Melee",$L229)),ISNUMBER(SEARCH("Bypass",$L229))),1.5,1)</f>
        <v>0</v>
      </c>
      <c r="Z229" s="17" cm="1">
        <f t="array" ref="Z229">$H229 *
IF(ISNUMBER(SEARCH("Rapid",$L229)),7/6,1) *
IF(OR(ISNUMBER(SEARCH("Beam",$L229)),ISNUMBER(SEARCH("Firestorm",$L229))),1, IF(ISNUMBER(SEARCH("Blast",$L229)),(4+$F229+(2-$F229)*0.5)/6*2,(4+$F229)/6)) *
IF(ISNUMBER(SEARCH("Fusion",$L229)), _xlfn.IFS(Z$24-$I229 &lt;=1, 9/10, Z$24-$I229 &lt;=10,(11-(Z$24-$I229))/10, Z$24-$I229 &gt;=11, 0),
_xlfn.IFS(Z$24-$I229 &lt;=1, 5/6, Z$24-$I229 &lt;=5, (7-(Z$24-$I229))/6, AND(Z$24-$I229 =6,NOT(_xlfn.IFNA(ISNUMBER(SEARCH("Rending",$L229)),FALSE))), (7-(Z$24-$I229))/6, AND(Z$24-$I229 &gt;=7,NOT(_xlfn.IFNA(ISNUMBER(SEARCH("Rending",$L229)),FALSE))), 0, Z$24-$I229 =7, (7-(Z$24-1-$I229))/6, Z$24-$I229 =8, (7-(Z$24-2-$I229))/6*2/3, Z$24-$I229 =9, (7-(Z$24-3-$I229))/6*1/3, TRUE, 0)) *
IF(ISNUMBER(SEARCH("Ordinance",$L229)),7/6,1) *
IF(OR(ISNUMBER(SEARCH("Melee",$L229)),ISNUMBER(SEARCH("Bypass",$L229))),1.5,1)</f>
        <v>0</v>
      </c>
      <c r="AA229" s="17" cm="1">
        <f t="array" ref="AA229">$H229 *
IF(ISNUMBER(SEARCH("Rapid",$L229)),7/6,1) *
IF(OR(ISNUMBER(SEARCH("Beam",$L229)),ISNUMBER(SEARCH("Firestorm",$L229))),1, IF(ISNUMBER(SEARCH("Blast",$L229)),(4+$F229+(2-$F229)*0.5)/6*2,(4+$F229)/6)) *
IF(ISNUMBER(SEARCH("Fusion",$L229)), _xlfn.IFS(AA$24-$I229 &lt;=1, 9/10, AA$24-$I229 &lt;=10,(11-(AA$24-$I229))/10, AA$24-$I229 &gt;=11, 0),
_xlfn.IFS(AA$24-$I229 &lt;=1, 5/6, AA$24-$I229 &lt;=5, (7-(AA$24-$I229))/6, AND(AA$24-$I229 =6,NOT(_xlfn.IFNA(ISNUMBER(SEARCH("Rending",$L229)),FALSE))), (7-(AA$24-$I229))/6, AND(AA$24-$I229 &gt;=7,NOT(_xlfn.IFNA(ISNUMBER(SEARCH("Rending",$L229)),FALSE))), 0, AA$24-$I229 =7, (7-(AA$24-1-$I229))/6, AA$24-$I229 =8, (7-(AA$24-2-$I229))/6*2/3, AA$24-$I229 =9, (7-(AA$24-3-$I229))/6*1/3, TRUE, 0)) *
IF(ISNUMBER(SEARCH("Ordinance",$L229)),7/6,1) *
IF(OR(ISNUMBER(SEARCH("Melee",$L229)),ISNUMBER(SEARCH("Bypass",$L229))),1.5,1)</f>
        <v>0</v>
      </c>
      <c r="AB229" s="17" cm="1">
        <f t="array" ref="AB229">$H229 *
IF(ISNUMBER(SEARCH("Rapid",$L229)),7/6,1) *
IF(OR(ISNUMBER(SEARCH("Beam",$L229)),ISNUMBER(SEARCH("Firestorm",$L229))),1, IF(ISNUMBER(SEARCH("Blast",$L229)),(4+$F229+(2-$F229)*0.5)/6*2,(4+$F229)/6)) *
IF(ISNUMBER(SEARCH("Fusion",$L229)), _xlfn.IFS(AB$24-$I229 &lt;=1, 9/10, AB$24-$I229 &lt;=10,(11-(AB$24-$I229))/10, AB$24-$I229 &gt;=11, 0),
_xlfn.IFS(AB$24-$I229 &lt;=1, 5/6, AB$24-$I229 &lt;=5, (7-(AB$24-$I229))/6, AND(AB$24-$I229 =6,NOT(_xlfn.IFNA(ISNUMBER(SEARCH("Rending",$L229)),FALSE))), (7-(AB$24-$I229))/6, AND(AB$24-$I229 &gt;=7,NOT(_xlfn.IFNA(ISNUMBER(SEARCH("Rending",$L229)),FALSE))), 0, AB$24-$I229 =7, (7-(AB$24-1-$I229))/6, AB$24-$I229 =8, (7-(AB$24-2-$I229))/6*2/3, AB$24-$I229 =9, (7-(AB$24-3-$I229))/6*1/3, TRUE, 0)) *
IF(ISNUMBER(SEARCH("Ordinance",$L229)),7/6,1) *
IF(OR(ISNUMBER(SEARCH("Melee",$L229)),ISNUMBER(SEARCH("Bypass",$L229))),1.5,1)</f>
        <v>0</v>
      </c>
      <c r="AC229" s="17" cm="1">
        <f t="array" ref="AC229">$H229 *
IF(ISNUMBER(SEARCH("Rapid",$L229)),7/6,1) *
IF(OR(ISNUMBER(SEARCH("Beam",$L229)),ISNUMBER(SEARCH("Firestorm",$L229))),1, IF(ISNUMBER(SEARCH("Blast",$L229)),(4+$F229+(2-$F229)*0.5)/6*2,(4+$F229)/6)) *
IF(ISNUMBER(SEARCH("Fusion",$L229)), _xlfn.IFS(AC$24-$I229 &lt;=1, 9/10, AC$24-$I229 &lt;=10,(11-(AC$24-$I229))/10, AC$24-$I229 &gt;=11, 0),
_xlfn.IFS(AC$24-$I229 &lt;=1, 5/6, AC$24-$I229 &lt;=5, (7-(AC$24-$I229))/6, AND(AC$24-$I229 =6,NOT(_xlfn.IFNA(ISNUMBER(SEARCH("Rending",$L229)),FALSE))), (7-(AC$24-$I229))/6, AND(AC$24-$I229 &gt;=7,NOT(_xlfn.IFNA(ISNUMBER(SEARCH("Rending",$L229)),FALSE))), 0, AC$24-$I229 =7, (7-(AC$24-1-$I229))/6, AC$24-$I229 =8, (7-(AC$24-2-$I229))/6*2/3, AC$24-$I229 =9, (7-(AC$24-3-$I229))/6*1/3, TRUE, 0)) *
IF(ISNUMBER(SEARCH("Ordinance",$L229)),7/6,1) *
IF(OR(ISNUMBER(SEARCH("Melee",$L229)),ISNUMBER(SEARCH("Bypass",$L229))),1.5,1)</f>
        <v>0</v>
      </c>
      <c r="AD229" s="17" cm="1">
        <f t="array" ref="AD229">$H229 *
IF(ISNUMBER(SEARCH("Rapid",$L229)),7/6,1) *
IF(OR(ISNUMBER(SEARCH("Beam",$L229)),ISNUMBER(SEARCH("Firestorm",$L229))),1, IF(ISNUMBER(SEARCH("Blast",$L229)),(4+$F229+(2-$F229)*0.5)/6*2,(4+$F229)/6)) *
IF(ISNUMBER(SEARCH("Fusion",$L229)), _xlfn.IFS(AD$24-$I229 &lt;=1, 9/10, AD$24-$I229 &lt;=10,(11-(AD$24-$I229))/10, AD$24-$I229 &gt;=11, 0),
_xlfn.IFS(AD$24-$I229 &lt;=1, 5/6, AD$24-$I229 &lt;=5, (7-(AD$24-$I229))/6, AND(AD$24-$I229 =6,NOT(_xlfn.IFNA(ISNUMBER(SEARCH("Rending",$L229)),FALSE))), (7-(AD$24-$I229))/6, AND(AD$24-$I229 &gt;=7,NOT(_xlfn.IFNA(ISNUMBER(SEARCH("Rending",$L229)),FALSE))), 0, AD$24-$I229 =7, (7-(AD$24-1-$I229))/6, AD$24-$I229 =8, (7-(AD$24-2-$I229))/6*2/3, AD$24-$I229 =9, (7-(AD$24-3-$I229))/6*1/3, TRUE, 0)) *
IF(ISNUMBER(SEARCH("Ordinance",$L229)),7/6,1) *
IF(OR(ISNUMBER(SEARCH("Melee",$L229)),ISNUMBER(SEARCH("Bypass",$L229))),1.5,1)</f>
        <v>0</v>
      </c>
      <c r="AE229" s="17" cm="1">
        <f t="array" ref="AE229">$H229 *
IF(ISNUMBER(SEARCH("Rapid",$L229)),7/6,1) *
IF(OR(ISNUMBER(SEARCH("Beam",$L229)),ISNUMBER(SEARCH("Firestorm",$L229))),1, IF(ISNUMBER(SEARCH("Blast",$L229)),(4+$F229+(2-$F229)*0.5)/6*2,(4+$F229)/6)) *
IF(ISNUMBER(SEARCH("Fusion",$L229)), _xlfn.IFS(AE$24-$I229 &lt;=1, 9/10, AE$24-$I229 &lt;=10,(11-(AE$24-$I229))/10, AE$24-$I229 &gt;=11, 0),
_xlfn.IFS(AE$24-$I229 &lt;=1, 5/6, AE$24-$I229 &lt;=5, (7-(AE$24-$I229))/6, AND(AE$24-$I229 =6,NOT(_xlfn.IFNA(ISNUMBER(SEARCH("Rending",$L229)),FALSE))), (7-(AE$24-$I229))/6, AND(AE$24-$I229 &gt;=7,NOT(_xlfn.IFNA(ISNUMBER(SEARCH("Rending",$L229)),FALSE))), 0, AE$24-$I229 =7, (7-(AE$24-1-$I229))/6, AE$24-$I229 =8, (7-(AE$24-2-$I229))/6*2/3, AE$24-$I229 =9, (7-(AE$24-3-$I229))/6*1/3, TRUE, 0)) *
IF(ISNUMBER(SEARCH("Ordinance",$L229)),7/6,1) *
IF(OR(ISNUMBER(SEARCH("Melee",$L229)),ISNUMBER(SEARCH("Bypass",$L229))),1.5,1)</f>
        <v>0</v>
      </c>
      <c r="AF229" s="17" cm="1">
        <f t="array" ref="AF229">$H229 *
IF(ISNUMBER(SEARCH("Rapid",$L229)),7/6,1) *
IF(OR(ISNUMBER(SEARCH("Beam",$L229)),ISNUMBER(SEARCH("Firestorm",$L229))),1, IF(ISNUMBER(SEARCH("Blast",$L229)),(4+$F229+(2-$F229)*0.5)/6*2,(4+$F229)/6)) *
IF(ISNUMBER(SEARCH("Fusion",$L229)), _xlfn.IFS(AF$24-$I229 &lt;=1, 9/10, AF$24-$I229 &lt;=10,(11-(AF$24-$I229))/10, AF$24-$I229 &gt;=11, 0),
_xlfn.IFS(AF$24-$I229 &lt;=1, 5/6, AF$24-$I229 &lt;=5, (7-(AF$24-$I229))/6, AND(AF$24-$I229 =6,NOT(_xlfn.IFNA(ISNUMBER(SEARCH("Rending",$L229)),FALSE))), (7-(AF$24-$I229))/6, AND(AF$24-$I229 &gt;=7,NOT(_xlfn.IFNA(ISNUMBER(SEARCH("Rending",$L229)),FALSE))), 0, AF$24-$I229 =7, (7-(AF$24-1-$I229))/6, AF$24-$I229 =8, (7-(AF$24-2-$I229))/6*2/3, AF$24-$I229 =9, (7-(AF$24-3-$I229))/6*1/3, TRUE, 0)) *
IF(ISNUMBER(SEARCH("Ordinance",$L229)),7/6,1) *
IF(OR(ISNUMBER(SEARCH("Melee",$L229)),ISNUMBER(SEARCH("Bypass",$L229))),1.5,1)</f>
        <v>0</v>
      </c>
      <c r="AG229" s="16">
        <f t="shared" si="67"/>
        <v>0</v>
      </c>
      <c r="AH229" s="16">
        <f t="shared" si="68"/>
        <v>0</v>
      </c>
      <c r="AI229" s="17" cm="1">
        <f t="array" ref="AI229">$H229 *
IF(ISNUMBER(SEARCH("Rapid",$L229)),7/6,1) *
IF(OR(ISNUMBER(SEARCH("Beam",$L229)),ISNUMBER(SEARCH("Firestorm",$L229))),1, IF(ISNUMBER(SEARCH("Blast",$L229)),(4+$G229+(2-$G229)*0.5)/6*2,(4+$G229)/6)) *
_xlfn.IFS(AI$24-$I229 &lt;=1, 5/6, AI$24-$I229 &lt;=5, (7-(AI$24-$I229))/6, AND(AI$24-$I229 =6,NOT(_xlfn.IFNA(ISNUMBER(SEARCH("Rending",$L229)),FALSE))), (7-(AI$24-$I229))/6, AND(AI$24-$I229 &gt;=7,NOT(_xlfn.IFNA(ISNUMBER(SEARCH("Rending",$L229)),FALSE))), 0, AI$24-$I229 =7, (7-(AI$24-1-$I229))/6, AI$24-$I229 =8, (7-(AI$24-2-$I229))/6*2/3, AI$24-$I229 =9, (7-(AI$24-3-$I229))/6*1/3, TRUE, 0) *
IF(ISNUMBER(SEARCH("Ordinance",$L229)),7/6,1) *
IF(OR(ISNUMBER(SEARCH("Melee",$L229)),ISNUMBER(SEARCH("Bypass",$L229))),1.5,1)</f>
        <v>0</v>
      </c>
      <c r="AJ229" s="17" cm="1">
        <f t="array" ref="AJ229">$H229 *
IF(ISNUMBER(SEARCH("Rapid",$L229)),7/6,1) *
IF(OR(ISNUMBER(SEARCH("Beam",$L229)),ISNUMBER(SEARCH("Firestorm",$L229))),1, IF(ISNUMBER(SEARCH("Blast",$L229)),(4+$G229+(2-$G229)*0.5)/6*2,(4+$G229)/6)) *
_xlfn.IFS(AJ$24-$I229 &lt;=1, 5/6, AJ$24-$I229 &lt;=5, (7-(AJ$24-$I229))/6, AND(AJ$24-$I229 =6,NOT(_xlfn.IFNA(ISNUMBER(SEARCH("Rending",$L229)),FALSE))), (7-(AJ$24-$I229))/6, AND(AJ$24-$I229 &gt;=7,NOT(_xlfn.IFNA(ISNUMBER(SEARCH("Rending",$L229)),FALSE))), 0, AJ$24-$I229 =7, (7-(AJ$24-1-$I229))/6, AJ$24-$I229 =8, (7-(AJ$24-2-$I229))/6*2/3, AJ$24-$I229 =9, (7-(AJ$24-3-$I229))/6*1/3, TRUE, 0) *
IF(ISNUMBER(SEARCH("Ordinance",$L229)),7/6,1) *
IF(OR(ISNUMBER(SEARCH("Melee",$L229)),ISNUMBER(SEARCH("Bypass",$L229))),1.5,1)</f>
        <v>0</v>
      </c>
      <c r="AK229" s="17" cm="1">
        <f t="array" ref="AK229">$H229 *
IF(ISNUMBER(SEARCH("Rapid",$L229)),7/6,1) *
IF(OR(ISNUMBER(SEARCH("Beam",$L229)),ISNUMBER(SEARCH("Firestorm",$L229))),1, IF(ISNUMBER(SEARCH("Blast",$L229)),(4+$G229+(2-$G229)*0.5)/6*2,(4+$G229)/6)) *
_xlfn.IFS(AK$24-$I229 &lt;=1, 5/6, AK$24-$I229 &lt;=5, (7-(AK$24-$I229))/6, AND(AK$24-$I229 =6,NOT(_xlfn.IFNA(ISNUMBER(SEARCH("Rending",$L229)),FALSE))), (7-(AK$24-$I229))/6, AND(AK$24-$I229 &gt;=7,NOT(_xlfn.IFNA(ISNUMBER(SEARCH("Rending",$L229)),FALSE))), 0, AK$24-$I229 =7, (7-(AK$24-1-$I229))/6, AK$24-$I229 =8, (7-(AK$24-2-$I229))/6*2/3, AK$24-$I229 =9, (7-(AK$24-3-$I229))/6*1/3, TRUE, 0) *
IF(ISNUMBER(SEARCH("Ordinance",$L229)),7/6,1) *
IF(OR(ISNUMBER(SEARCH("Melee",$L229)),ISNUMBER(SEARCH("Bypass",$L229))),1.5,1)</f>
        <v>0</v>
      </c>
      <c r="AL229" s="17" cm="1">
        <f t="array" ref="AL229">$H229 *
IF(ISNUMBER(SEARCH("Rapid",$L229)),7/6,1) *
IF(OR(ISNUMBER(SEARCH("Beam",$L229)),ISNUMBER(SEARCH("Firestorm",$L229))),1, IF(ISNUMBER(SEARCH("Blast",$L229)),(4+$G229+(2-$G229)*0.5)/6*2,(4+$G229)/6)) *
_xlfn.IFS(AL$24-$I229 &lt;=1, 5/6, AL$24-$I229 &lt;=5, (7-(AL$24-$I229))/6, AND(AL$24-$I229 =6,NOT(_xlfn.IFNA(ISNUMBER(SEARCH("Rending",$L229)),FALSE))), (7-(AL$24-$I229))/6, AND(AL$24-$I229 &gt;=7,NOT(_xlfn.IFNA(ISNUMBER(SEARCH("Rending",$L229)),FALSE))), 0, AL$24-$I229 =7, (7-(AL$24-1-$I229))/6, AL$24-$I229 =8, (7-(AL$24-2-$I229))/6*2/3, AL$24-$I229 =9, (7-(AL$24-3-$I229))/6*1/3, TRUE, 0) *
IF(ISNUMBER(SEARCH("Ordinance",$L229)),7/6,1) *
IF(OR(ISNUMBER(SEARCH("Melee",$L229)),ISNUMBER(SEARCH("Bypass",$L229))),1.5,1)</f>
        <v>0</v>
      </c>
      <c r="AM229" s="17" cm="1">
        <f t="array" ref="AM229">$H229 *
IF(ISNUMBER(SEARCH("Rapid",$L229)),7/6,1) *
IF(OR(ISNUMBER(SEARCH("Beam",$L229)),ISNUMBER(SEARCH("Firestorm",$L229))),1, IF(ISNUMBER(SEARCH("Blast",$L229)),(4+$G229+(2-$G229)*0.5)/6*2,(4+$G229)/6)) *
_xlfn.IFS(AM$24-$I229 &lt;=1, 5/6, AM$24-$I229 &lt;=5, (7-(AM$24-$I229))/6, AND(AM$24-$I229 =6,NOT(_xlfn.IFNA(ISNUMBER(SEARCH("Rending",$L229)),FALSE))), (7-(AM$24-$I229))/6, AND(AM$24-$I229 &gt;=7,NOT(_xlfn.IFNA(ISNUMBER(SEARCH("Rending",$L229)),FALSE))), 0, AM$24-$I229 =7, (7-(AM$24-1-$I229))/6, AM$24-$I229 =8, (7-(AM$24-2-$I229))/6*2/3, AM$24-$I229 =9, (7-(AM$24-3-$I229))/6*1/3, TRUE, 0) *
IF(ISNUMBER(SEARCH("Ordinance",$L229)),7/6,1) *
IF(OR(ISNUMBER(SEARCH("Melee",$L229)),ISNUMBER(SEARCH("Bypass",$L229))),1.5,1)</f>
        <v>0</v>
      </c>
      <c r="AN229" s="17" cm="1">
        <f t="array" ref="AN229">$H229 *
IF(ISNUMBER(SEARCH("Rapid",$L229)),7/6,1) *
IF(OR(ISNUMBER(SEARCH("Beam",$L229)),ISNUMBER(SEARCH("Firestorm",$L229))),1, IF(ISNUMBER(SEARCH("Blast",$L229)),(4+$G229+(2-$G229)*0.5)/6*2,(4+$G229)/6)) *
_xlfn.IFS(AN$24-$I229 &lt;=1, 5/6, AN$24-$I229 &lt;=5, (7-(AN$24-$I229))/6, AND(AN$24-$I229 =6,NOT(_xlfn.IFNA(ISNUMBER(SEARCH("Rending",$L229)),FALSE))), (7-(AN$24-$I229))/6, AND(AN$24-$I229 &gt;=7,NOT(_xlfn.IFNA(ISNUMBER(SEARCH("Rending",$L229)),FALSE))), 0, AN$24-$I229 =7, (7-(AN$24-1-$I229))/6, AN$24-$I229 =8, (7-(AN$24-2-$I229))/6*2/3, AN$24-$I229 =9, (7-(AN$24-3-$I229))/6*1/3, TRUE, 0) *
IF(ISNUMBER(SEARCH("Ordinance",$L229)),7/6,1) *
IF(OR(ISNUMBER(SEARCH("Melee",$L229)),ISNUMBER(SEARCH("Bypass",$L229))),1.5,1)</f>
        <v>0</v>
      </c>
      <c r="AO229" s="17" cm="1">
        <f t="array" ref="AO229">$H229 *
IF(ISNUMBER(SEARCH("Rapid",$L229)),7/6,1) *
IF(OR(ISNUMBER(SEARCH("Beam",$L229)),ISNUMBER(SEARCH("Firestorm",$L229))),1, IF(ISNUMBER(SEARCH("Blast",$L229)),(4+$G229+(2-$G229)*0.5)/6*2,(4+$G229)/6)) *
_xlfn.IFS(AO$24-$I229 &lt;=1, 5/6, AO$24-$I229 &lt;=5, (7-(AO$24-$I229))/6, AND(AO$24-$I229 =6,NOT(_xlfn.IFNA(ISNUMBER(SEARCH("Rending",$L229)),FALSE))), (7-(AO$24-$I229))/6, AND(AO$24-$I229 &gt;=7,NOT(_xlfn.IFNA(ISNUMBER(SEARCH("Rending",$L229)),FALSE))), 0, AO$24-$I229 =7, (7-(AO$24-1-$I229))/6, AO$24-$I229 =8, (7-(AO$24-2-$I229))/6*2/3, AO$24-$I229 =9, (7-(AO$24-3-$I229))/6*1/3, TRUE, 0) *
IF(ISNUMBER(SEARCH("Ordinance",$L229)),7/6,1) *
IF(OR(ISNUMBER(SEARCH("Melee",$L229)),ISNUMBER(SEARCH("Bypass",$L229))),1.5,1)</f>
        <v>0</v>
      </c>
      <c r="AP229" s="17" cm="1">
        <f t="array" ref="AP229">$H229 *
IF(ISNUMBER(SEARCH("Rapid",$L229)),7/6,1) *
IF(OR(ISNUMBER(SEARCH("Beam",$L229)),ISNUMBER(SEARCH("Firestorm",$L229))),1, IF(ISNUMBER(SEARCH("Blast",$L229)),(4+$G229+(2-$G229)*0.5)/6*2,(4+$G229)/6)) *
_xlfn.IFS(AP$24-$I229 &lt;=1, 5/6, AP$24-$I229 &lt;=5, (7-(AP$24-$I229))/6, AND(AP$24-$I229 =6,NOT(_xlfn.IFNA(ISNUMBER(SEARCH("Rending",$L229)),FALSE))), (7-(AP$24-$I229))/6, AND(AP$24-$I229 &gt;=7,NOT(_xlfn.IFNA(ISNUMBER(SEARCH("Rending",$L229)),FALSE))), 0, AP$24-$I229 =7, (7-(AP$24-1-$I229))/6, AP$24-$I229 =8, (7-(AP$24-2-$I229))/6*2/3, AP$24-$I229 =9, (7-(AP$24-3-$I229))/6*1/3, TRUE, 0) *
IF(ISNUMBER(SEARCH("Ordinance",$L229)),7/6,1) *
IF(OR(ISNUMBER(SEARCH("Melee",$L229)),ISNUMBER(SEARCH("Bypass",$L229))),1.5,1)</f>
        <v>0</v>
      </c>
      <c r="AQ229" s="17" cm="1">
        <f t="array" ref="AQ229">$H229 *
IF(ISNUMBER(SEARCH("Rapid",$L229)),7/6,1) *
IF(OR(ISNUMBER(SEARCH("Beam",$L229)),ISNUMBER(SEARCH("Firestorm",$L229))),1, IF(ISNUMBER(SEARCH("Blast",$L229)),(4+$G229+(2-$G229)*0.5)/6*2,(4+$G229)/6)) *
_xlfn.IFS(AQ$24-$I229 &lt;=1, 5/6, AQ$24-$I229 &lt;=5, (7-(AQ$24-$I229))/6, AND(AQ$24-$I229 =6,NOT(_xlfn.IFNA(ISNUMBER(SEARCH("Rending",$L229)),FALSE))), (7-(AQ$24-$I229))/6, AND(AQ$24-$I229 &gt;=7,NOT(_xlfn.IFNA(ISNUMBER(SEARCH("Rending",$L229)),FALSE))), 0, AQ$24-$I229 =7, (7-(AQ$24-1-$I229))/6, AQ$24-$I229 =8, (7-(AQ$24-2-$I229))/6*2/3, AQ$24-$I229 =9, (7-(AQ$24-3-$I229))/6*1/3, TRUE, 0) *
IF(ISNUMBER(SEARCH("Ordinance",$L229)),7/6,1) *
IF(OR(ISNUMBER(SEARCH("Melee",$L229)),ISNUMBER(SEARCH("Bypass",$L229))),1.5,1)</f>
        <v>0</v>
      </c>
    </row>
    <row r="230" spans="1:48" x14ac:dyDescent="0.3">
      <c r="A230" s="6" t="s">
        <v>714</v>
      </c>
      <c r="F230" s="10"/>
      <c r="G230" s="10"/>
      <c r="V230" s="16">
        <f t="shared" si="65"/>
        <v>0</v>
      </c>
      <c r="W230" s="16">
        <f t="shared" si="66"/>
        <v>0</v>
      </c>
      <c r="X230" s="17" cm="1">
        <f t="array" ref="X230">$H230 *
IF(ISNUMBER(SEARCH("Rapid",$L230)),7/6,1) *
IF(OR(ISNUMBER(SEARCH("Beam",$L230)),ISNUMBER(SEARCH("Firestorm",$L230))),1, IF(ISNUMBER(SEARCH("Blast",$L230)),(4+$F230+(2-$F230)*0.5)/6*2,(4+$F230)/6)) *
IF(ISNUMBER(SEARCH("Fusion",$L230)), _xlfn.IFS(X$24-$I230 &lt;=1, 9/10, X$24-$I230 &lt;=10,(11-(X$24-$I230))/10, X$24-$I230 &gt;=11, 0),
_xlfn.IFS(X$24-$I230 &lt;=1, 5/6, X$24-$I230 &lt;=5, (7-(X$24-$I230))/6, AND(X$24-$I230 =6,NOT(_xlfn.IFNA(ISNUMBER(SEARCH("Rending",$L230)),FALSE))), (7-(X$24-$I230))/6, AND(X$24-$I230 &gt;=7,NOT(_xlfn.IFNA(ISNUMBER(SEARCH("Rending",$L230)),FALSE))), 0, X$24-$I230 =7, (7-(X$24-1-$I230))/6, X$24-$I230 =8, (7-(X$24-2-$I230))/6*2/3, X$24-$I230 =9, (7-(X$24-3-$I230))/6*1/3, TRUE, 0)) *
IF(ISNUMBER(SEARCH("Ordinance",$L230)),7/6,1) *
IF(OR(ISNUMBER(SEARCH("Melee",$L230)),ISNUMBER(SEARCH("Bypass",$L230))),1.5,1)</f>
        <v>0</v>
      </c>
      <c r="Y230" s="17" cm="1">
        <f t="array" ref="Y230">$H230 *
IF(ISNUMBER(SEARCH("Rapid",$L230)),7/6,1) *
IF(OR(ISNUMBER(SEARCH("Beam",$L230)),ISNUMBER(SEARCH("Firestorm",$L230))),1, IF(ISNUMBER(SEARCH("Blast",$L230)),(4+$F230+(2-$F230)*0.5)/6*2,(4+$F230)/6)) *
IF(ISNUMBER(SEARCH("Fusion",$L230)), _xlfn.IFS(Y$24-$I230 &lt;=1, 9/10, Y$24-$I230 &lt;=10,(11-(Y$24-$I230))/10, Y$24-$I230 &gt;=11, 0),
_xlfn.IFS(Y$24-$I230 &lt;=1, 5/6, Y$24-$I230 &lt;=5, (7-(Y$24-$I230))/6, AND(Y$24-$I230 =6,NOT(_xlfn.IFNA(ISNUMBER(SEARCH("Rending",$L230)),FALSE))), (7-(Y$24-$I230))/6, AND(Y$24-$I230 &gt;=7,NOT(_xlfn.IFNA(ISNUMBER(SEARCH("Rending",$L230)),FALSE))), 0, Y$24-$I230 =7, (7-(Y$24-1-$I230))/6, Y$24-$I230 =8, (7-(Y$24-2-$I230))/6*2/3, Y$24-$I230 =9, (7-(Y$24-3-$I230))/6*1/3, TRUE, 0)) *
IF(ISNUMBER(SEARCH("Ordinance",$L230)),7/6,1) *
IF(OR(ISNUMBER(SEARCH("Melee",$L230)),ISNUMBER(SEARCH("Bypass",$L230))),1.5,1)</f>
        <v>0</v>
      </c>
      <c r="Z230" s="17" cm="1">
        <f t="array" ref="Z230">$H230 *
IF(ISNUMBER(SEARCH("Rapid",$L230)),7/6,1) *
IF(OR(ISNUMBER(SEARCH("Beam",$L230)),ISNUMBER(SEARCH("Firestorm",$L230))),1, IF(ISNUMBER(SEARCH("Blast",$L230)),(4+$F230+(2-$F230)*0.5)/6*2,(4+$F230)/6)) *
IF(ISNUMBER(SEARCH("Fusion",$L230)), _xlfn.IFS(Z$24-$I230 &lt;=1, 9/10, Z$24-$I230 &lt;=10,(11-(Z$24-$I230))/10, Z$24-$I230 &gt;=11, 0),
_xlfn.IFS(Z$24-$I230 &lt;=1, 5/6, Z$24-$I230 &lt;=5, (7-(Z$24-$I230))/6, AND(Z$24-$I230 =6,NOT(_xlfn.IFNA(ISNUMBER(SEARCH("Rending",$L230)),FALSE))), (7-(Z$24-$I230))/6, AND(Z$24-$I230 &gt;=7,NOT(_xlfn.IFNA(ISNUMBER(SEARCH("Rending",$L230)),FALSE))), 0, Z$24-$I230 =7, (7-(Z$24-1-$I230))/6, Z$24-$I230 =8, (7-(Z$24-2-$I230))/6*2/3, Z$24-$I230 =9, (7-(Z$24-3-$I230))/6*1/3, TRUE, 0)) *
IF(ISNUMBER(SEARCH("Ordinance",$L230)),7/6,1) *
IF(OR(ISNUMBER(SEARCH("Melee",$L230)),ISNUMBER(SEARCH("Bypass",$L230))),1.5,1)</f>
        <v>0</v>
      </c>
      <c r="AA230" s="17" cm="1">
        <f t="array" ref="AA230">$H230 *
IF(ISNUMBER(SEARCH("Rapid",$L230)),7/6,1) *
IF(OR(ISNUMBER(SEARCH("Beam",$L230)),ISNUMBER(SEARCH("Firestorm",$L230))),1, IF(ISNUMBER(SEARCH("Blast",$L230)),(4+$F230+(2-$F230)*0.5)/6*2,(4+$F230)/6)) *
IF(ISNUMBER(SEARCH("Fusion",$L230)), _xlfn.IFS(AA$24-$I230 &lt;=1, 9/10, AA$24-$I230 &lt;=10,(11-(AA$24-$I230))/10, AA$24-$I230 &gt;=11, 0),
_xlfn.IFS(AA$24-$I230 &lt;=1, 5/6, AA$24-$I230 &lt;=5, (7-(AA$24-$I230))/6, AND(AA$24-$I230 =6,NOT(_xlfn.IFNA(ISNUMBER(SEARCH("Rending",$L230)),FALSE))), (7-(AA$24-$I230))/6, AND(AA$24-$I230 &gt;=7,NOT(_xlfn.IFNA(ISNUMBER(SEARCH("Rending",$L230)),FALSE))), 0, AA$24-$I230 =7, (7-(AA$24-1-$I230))/6, AA$24-$I230 =8, (7-(AA$24-2-$I230))/6*2/3, AA$24-$I230 =9, (7-(AA$24-3-$I230))/6*1/3, TRUE, 0)) *
IF(ISNUMBER(SEARCH("Ordinance",$L230)),7/6,1) *
IF(OR(ISNUMBER(SEARCH("Melee",$L230)),ISNUMBER(SEARCH("Bypass",$L230))),1.5,1)</f>
        <v>0</v>
      </c>
      <c r="AB230" s="17" cm="1">
        <f t="array" ref="AB230">$H230 *
IF(ISNUMBER(SEARCH("Rapid",$L230)),7/6,1) *
IF(OR(ISNUMBER(SEARCH("Beam",$L230)),ISNUMBER(SEARCH("Firestorm",$L230))),1, IF(ISNUMBER(SEARCH("Blast",$L230)),(4+$F230+(2-$F230)*0.5)/6*2,(4+$F230)/6)) *
IF(ISNUMBER(SEARCH("Fusion",$L230)), _xlfn.IFS(AB$24-$I230 &lt;=1, 9/10, AB$24-$I230 &lt;=10,(11-(AB$24-$I230))/10, AB$24-$I230 &gt;=11, 0),
_xlfn.IFS(AB$24-$I230 &lt;=1, 5/6, AB$24-$I230 &lt;=5, (7-(AB$24-$I230))/6, AND(AB$24-$I230 =6,NOT(_xlfn.IFNA(ISNUMBER(SEARCH("Rending",$L230)),FALSE))), (7-(AB$24-$I230))/6, AND(AB$24-$I230 &gt;=7,NOT(_xlfn.IFNA(ISNUMBER(SEARCH("Rending",$L230)),FALSE))), 0, AB$24-$I230 =7, (7-(AB$24-1-$I230))/6, AB$24-$I230 =8, (7-(AB$24-2-$I230))/6*2/3, AB$24-$I230 =9, (7-(AB$24-3-$I230))/6*1/3, TRUE, 0)) *
IF(ISNUMBER(SEARCH("Ordinance",$L230)),7/6,1) *
IF(OR(ISNUMBER(SEARCH("Melee",$L230)),ISNUMBER(SEARCH("Bypass",$L230))),1.5,1)</f>
        <v>0</v>
      </c>
      <c r="AC230" s="17" cm="1">
        <f t="array" ref="AC230">$H230 *
IF(ISNUMBER(SEARCH("Rapid",$L230)),7/6,1) *
IF(OR(ISNUMBER(SEARCH("Beam",$L230)),ISNUMBER(SEARCH("Firestorm",$L230))),1, IF(ISNUMBER(SEARCH("Blast",$L230)),(4+$F230+(2-$F230)*0.5)/6*2,(4+$F230)/6)) *
IF(ISNUMBER(SEARCH("Fusion",$L230)), _xlfn.IFS(AC$24-$I230 &lt;=1, 9/10, AC$24-$I230 &lt;=10,(11-(AC$24-$I230))/10, AC$24-$I230 &gt;=11, 0),
_xlfn.IFS(AC$24-$I230 &lt;=1, 5/6, AC$24-$I230 &lt;=5, (7-(AC$24-$I230))/6, AND(AC$24-$I230 =6,NOT(_xlfn.IFNA(ISNUMBER(SEARCH("Rending",$L230)),FALSE))), (7-(AC$24-$I230))/6, AND(AC$24-$I230 &gt;=7,NOT(_xlfn.IFNA(ISNUMBER(SEARCH("Rending",$L230)),FALSE))), 0, AC$24-$I230 =7, (7-(AC$24-1-$I230))/6, AC$24-$I230 =8, (7-(AC$24-2-$I230))/6*2/3, AC$24-$I230 =9, (7-(AC$24-3-$I230))/6*1/3, TRUE, 0)) *
IF(ISNUMBER(SEARCH("Ordinance",$L230)),7/6,1) *
IF(OR(ISNUMBER(SEARCH("Melee",$L230)),ISNUMBER(SEARCH("Bypass",$L230))),1.5,1)</f>
        <v>0</v>
      </c>
      <c r="AD230" s="17" cm="1">
        <f t="array" ref="AD230">$H230 *
IF(ISNUMBER(SEARCH("Rapid",$L230)),7/6,1) *
IF(OR(ISNUMBER(SEARCH("Beam",$L230)),ISNUMBER(SEARCH("Firestorm",$L230))),1, IF(ISNUMBER(SEARCH("Blast",$L230)),(4+$F230+(2-$F230)*0.5)/6*2,(4+$F230)/6)) *
IF(ISNUMBER(SEARCH("Fusion",$L230)), _xlfn.IFS(AD$24-$I230 &lt;=1, 9/10, AD$24-$I230 &lt;=10,(11-(AD$24-$I230))/10, AD$24-$I230 &gt;=11, 0),
_xlfn.IFS(AD$24-$I230 &lt;=1, 5/6, AD$24-$I230 &lt;=5, (7-(AD$24-$I230))/6, AND(AD$24-$I230 =6,NOT(_xlfn.IFNA(ISNUMBER(SEARCH("Rending",$L230)),FALSE))), (7-(AD$24-$I230))/6, AND(AD$24-$I230 &gt;=7,NOT(_xlfn.IFNA(ISNUMBER(SEARCH("Rending",$L230)),FALSE))), 0, AD$24-$I230 =7, (7-(AD$24-1-$I230))/6, AD$24-$I230 =8, (7-(AD$24-2-$I230))/6*2/3, AD$24-$I230 =9, (7-(AD$24-3-$I230))/6*1/3, TRUE, 0)) *
IF(ISNUMBER(SEARCH("Ordinance",$L230)),7/6,1) *
IF(OR(ISNUMBER(SEARCH("Melee",$L230)),ISNUMBER(SEARCH("Bypass",$L230))),1.5,1)</f>
        <v>0</v>
      </c>
      <c r="AE230" s="17" cm="1">
        <f t="array" ref="AE230">$H230 *
IF(ISNUMBER(SEARCH("Rapid",$L230)),7/6,1) *
IF(OR(ISNUMBER(SEARCH("Beam",$L230)),ISNUMBER(SEARCH("Firestorm",$L230))),1, IF(ISNUMBER(SEARCH("Blast",$L230)),(4+$F230+(2-$F230)*0.5)/6*2,(4+$F230)/6)) *
IF(ISNUMBER(SEARCH("Fusion",$L230)), _xlfn.IFS(AE$24-$I230 &lt;=1, 9/10, AE$24-$I230 &lt;=10,(11-(AE$24-$I230))/10, AE$24-$I230 &gt;=11, 0),
_xlfn.IFS(AE$24-$I230 &lt;=1, 5/6, AE$24-$I230 &lt;=5, (7-(AE$24-$I230))/6, AND(AE$24-$I230 =6,NOT(_xlfn.IFNA(ISNUMBER(SEARCH("Rending",$L230)),FALSE))), (7-(AE$24-$I230))/6, AND(AE$24-$I230 &gt;=7,NOT(_xlfn.IFNA(ISNUMBER(SEARCH("Rending",$L230)),FALSE))), 0, AE$24-$I230 =7, (7-(AE$24-1-$I230))/6, AE$24-$I230 =8, (7-(AE$24-2-$I230))/6*2/3, AE$24-$I230 =9, (7-(AE$24-3-$I230))/6*1/3, TRUE, 0)) *
IF(ISNUMBER(SEARCH("Ordinance",$L230)),7/6,1) *
IF(OR(ISNUMBER(SEARCH("Melee",$L230)),ISNUMBER(SEARCH("Bypass",$L230))),1.5,1)</f>
        <v>0</v>
      </c>
      <c r="AF230" s="17" cm="1">
        <f t="array" ref="AF230">$H230 *
IF(ISNUMBER(SEARCH("Rapid",$L230)),7/6,1) *
IF(OR(ISNUMBER(SEARCH("Beam",$L230)),ISNUMBER(SEARCH("Firestorm",$L230))),1, IF(ISNUMBER(SEARCH("Blast",$L230)),(4+$F230+(2-$F230)*0.5)/6*2,(4+$F230)/6)) *
IF(ISNUMBER(SEARCH("Fusion",$L230)), _xlfn.IFS(AF$24-$I230 &lt;=1, 9/10, AF$24-$I230 &lt;=10,(11-(AF$24-$I230))/10, AF$24-$I230 &gt;=11, 0),
_xlfn.IFS(AF$24-$I230 &lt;=1, 5/6, AF$24-$I230 &lt;=5, (7-(AF$24-$I230))/6, AND(AF$24-$I230 =6,NOT(_xlfn.IFNA(ISNUMBER(SEARCH("Rending",$L230)),FALSE))), (7-(AF$24-$I230))/6, AND(AF$24-$I230 &gt;=7,NOT(_xlfn.IFNA(ISNUMBER(SEARCH("Rending",$L230)),FALSE))), 0, AF$24-$I230 =7, (7-(AF$24-1-$I230))/6, AF$24-$I230 =8, (7-(AF$24-2-$I230))/6*2/3, AF$24-$I230 =9, (7-(AF$24-3-$I230))/6*1/3, TRUE, 0)) *
IF(ISNUMBER(SEARCH("Ordinance",$L230)),7/6,1) *
IF(OR(ISNUMBER(SEARCH("Melee",$L230)),ISNUMBER(SEARCH("Bypass",$L230))),1.5,1)</f>
        <v>0</v>
      </c>
      <c r="AG230" s="16">
        <f t="shared" si="67"/>
        <v>0</v>
      </c>
      <c r="AH230" s="16">
        <f t="shared" si="68"/>
        <v>0</v>
      </c>
      <c r="AI230" s="17" cm="1">
        <f t="array" ref="AI230">$H230 *
IF(ISNUMBER(SEARCH("Rapid",$L230)),7/6,1) *
IF(OR(ISNUMBER(SEARCH("Beam",$L230)),ISNUMBER(SEARCH("Firestorm",$L230))),1, IF(ISNUMBER(SEARCH("Blast",$L230)),(4+$G230+(2-$G230)*0.5)/6*2,(4+$G230)/6)) *
_xlfn.IFS(AI$24-$I230 &lt;=1, 5/6, AI$24-$I230 &lt;=5, (7-(AI$24-$I230))/6, AND(AI$24-$I230 =6,NOT(_xlfn.IFNA(ISNUMBER(SEARCH("Rending",$L230)),FALSE))), (7-(AI$24-$I230))/6, AND(AI$24-$I230 &gt;=7,NOT(_xlfn.IFNA(ISNUMBER(SEARCH("Rending",$L230)),FALSE))), 0, AI$24-$I230 =7, (7-(AI$24-1-$I230))/6, AI$24-$I230 =8, (7-(AI$24-2-$I230))/6*2/3, AI$24-$I230 =9, (7-(AI$24-3-$I230))/6*1/3, TRUE, 0) *
IF(ISNUMBER(SEARCH("Ordinance",$L230)),7/6,1) *
IF(OR(ISNUMBER(SEARCH("Melee",$L230)),ISNUMBER(SEARCH("Bypass",$L230))),1.5,1)</f>
        <v>0</v>
      </c>
      <c r="AJ230" s="17" cm="1">
        <f t="array" ref="AJ230">$H230 *
IF(ISNUMBER(SEARCH("Rapid",$L230)),7/6,1) *
IF(OR(ISNUMBER(SEARCH("Beam",$L230)),ISNUMBER(SEARCH("Firestorm",$L230))),1, IF(ISNUMBER(SEARCH("Blast",$L230)),(4+$G230+(2-$G230)*0.5)/6*2,(4+$G230)/6)) *
_xlfn.IFS(AJ$24-$I230 &lt;=1, 5/6, AJ$24-$I230 &lt;=5, (7-(AJ$24-$I230))/6, AND(AJ$24-$I230 =6,NOT(_xlfn.IFNA(ISNUMBER(SEARCH("Rending",$L230)),FALSE))), (7-(AJ$24-$I230))/6, AND(AJ$24-$I230 &gt;=7,NOT(_xlfn.IFNA(ISNUMBER(SEARCH("Rending",$L230)),FALSE))), 0, AJ$24-$I230 =7, (7-(AJ$24-1-$I230))/6, AJ$24-$I230 =8, (7-(AJ$24-2-$I230))/6*2/3, AJ$24-$I230 =9, (7-(AJ$24-3-$I230))/6*1/3, TRUE, 0) *
IF(ISNUMBER(SEARCH("Ordinance",$L230)),7/6,1) *
IF(OR(ISNUMBER(SEARCH("Melee",$L230)),ISNUMBER(SEARCH("Bypass",$L230))),1.5,1)</f>
        <v>0</v>
      </c>
      <c r="AK230" s="17" cm="1">
        <f t="array" ref="AK230">$H230 *
IF(ISNUMBER(SEARCH("Rapid",$L230)),7/6,1) *
IF(OR(ISNUMBER(SEARCH("Beam",$L230)),ISNUMBER(SEARCH("Firestorm",$L230))),1, IF(ISNUMBER(SEARCH("Blast",$L230)),(4+$G230+(2-$G230)*0.5)/6*2,(4+$G230)/6)) *
_xlfn.IFS(AK$24-$I230 &lt;=1, 5/6, AK$24-$I230 &lt;=5, (7-(AK$24-$I230))/6, AND(AK$24-$I230 =6,NOT(_xlfn.IFNA(ISNUMBER(SEARCH("Rending",$L230)),FALSE))), (7-(AK$24-$I230))/6, AND(AK$24-$I230 &gt;=7,NOT(_xlfn.IFNA(ISNUMBER(SEARCH("Rending",$L230)),FALSE))), 0, AK$24-$I230 =7, (7-(AK$24-1-$I230))/6, AK$24-$I230 =8, (7-(AK$24-2-$I230))/6*2/3, AK$24-$I230 =9, (7-(AK$24-3-$I230))/6*1/3, TRUE, 0) *
IF(ISNUMBER(SEARCH("Ordinance",$L230)),7/6,1) *
IF(OR(ISNUMBER(SEARCH("Melee",$L230)),ISNUMBER(SEARCH("Bypass",$L230))),1.5,1)</f>
        <v>0</v>
      </c>
      <c r="AL230" s="17" cm="1">
        <f t="array" ref="AL230">$H230 *
IF(ISNUMBER(SEARCH("Rapid",$L230)),7/6,1) *
IF(OR(ISNUMBER(SEARCH("Beam",$L230)),ISNUMBER(SEARCH("Firestorm",$L230))),1, IF(ISNUMBER(SEARCH("Blast",$L230)),(4+$G230+(2-$G230)*0.5)/6*2,(4+$G230)/6)) *
_xlfn.IFS(AL$24-$I230 &lt;=1, 5/6, AL$24-$I230 &lt;=5, (7-(AL$24-$I230))/6, AND(AL$24-$I230 =6,NOT(_xlfn.IFNA(ISNUMBER(SEARCH("Rending",$L230)),FALSE))), (7-(AL$24-$I230))/6, AND(AL$24-$I230 &gt;=7,NOT(_xlfn.IFNA(ISNUMBER(SEARCH("Rending",$L230)),FALSE))), 0, AL$24-$I230 =7, (7-(AL$24-1-$I230))/6, AL$24-$I230 =8, (7-(AL$24-2-$I230))/6*2/3, AL$24-$I230 =9, (7-(AL$24-3-$I230))/6*1/3, TRUE, 0) *
IF(ISNUMBER(SEARCH("Ordinance",$L230)),7/6,1) *
IF(OR(ISNUMBER(SEARCH("Melee",$L230)),ISNUMBER(SEARCH("Bypass",$L230))),1.5,1)</f>
        <v>0</v>
      </c>
      <c r="AM230" s="17" cm="1">
        <f t="array" ref="AM230">$H230 *
IF(ISNUMBER(SEARCH("Rapid",$L230)),7/6,1) *
IF(OR(ISNUMBER(SEARCH("Beam",$L230)),ISNUMBER(SEARCH("Firestorm",$L230))),1, IF(ISNUMBER(SEARCH("Blast",$L230)),(4+$G230+(2-$G230)*0.5)/6*2,(4+$G230)/6)) *
_xlfn.IFS(AM$24-$I230 &lt;=1, 5/6, AM$24-$I230 &lt;=5, (7-(AM$24-$I230))/6, AND(AM$24-$I230 =6,NOT(_xlfn.IFNA(ISNUMBER(SEARCH("Rending",$L230)),FALSE))), (7-(AM$24-$I230))/6, AND(AM$24-$I230 &gt;=7,NOT(_xlfn.IFNA(ISNUMBER(SEARCH("Rending",$L230)),FALSE))), 0, AM$24-$I230 =7, (7-(AM$24-1-$I230))/6, AM$24-$I230 =8, (7-(AM$24-2-$I230))/6*2/3, AM$24-$I230 =9, (7-(AM$24-3-$I230))/6*1/3, TRUE, 0) *
IF(ISNUMBER(SEARCH("Ordinance",$L230)),7/6,1) *
IF(OR(ISNUMBER(SEARCH("Melee",$L230)),ISNUMBER(SEARCH("Bypass",$L230))),1.5,1)</f>
        <v>0</v>
      </c>
      <c r="AN230" s="17" cm="1">
        <f t="array" ref="AN230">$H230 *
IF(ISNUMBER(SEARCH("Rapid",$L230)),7/6,1) *
IF(OR(ISNUMBER(SEARCH("Beam",$L230)),ISNUMBER(SEARCH("Firestorm",$L230))),1, IF(ISNUMBER(SEARCH("Blast",$L230)),(4+$G230+(2-$G230)*0.5)/6*2,(4+$G230)/6)) *
_xlfn.IFS(AN$24-$I230 &lt;=1, 5/6, AN$24-$I230 &lt;=5, (7-(AN$24-$I230))/6, AND(AN$24-$I230 =6,NOT(_xlfn.IFNA(ISNUMBER(SEARCH("Rending",$L230)),FALSE))), (7-(AN$24-$I230))/6, AND(AN$24-$I230 &gt;=7,NOT(_xlfn.IFNA(ISNUMBER(SEARCH("Rending",$L230)),FALSE))), 0, AN$24-$I230 =7, (7-(AN$24-1-$I230))/6, AN$24-$I230 =8, (7-(AN$24-2-$I230))/6*2/3, AN$24-$I230 =9, (7-(AN$24-3-$I230))/6*1/3, TRUE, 0) *
IF(ISNUMBER(SEARCH("Ordinance",$L230)),7/6,1) *
IF(OR(ISNUMBER(SEARCH("Melee",$L230)),ISNUMBER(SEARCH("Bypass",$L230))),1.5,1)</f>
        <v>0</v>
      </c>
      <c r="AO230" s="17" cm="1">
        <f t="array" ref="AO230">$H230 *
IF(ISNUMBER(SEARCH("Rapid",$L230)),7/6,1) *
IF(OR(ISNUMBER(SEARCH("Beam",$L230)),ISNUMBER(SEARCH("Firestorm",$L230))),1, IF(ISNUMBER(SEARCH("Blast",$L230)),(4+$G230+(2-$G230)*0.5)/6*2,(4+$G230)/6)) *
_xlfn.IFS(AO$24-$I230 &lt;=1, 5/6, AO$24-$I230 &lt;=5, (7-(AO$24-$I230))/6, AND(AO$24-$I230 =6,NOT(_xlfn.IFNA(ISNUMBER(SEARCH("Rending",$L230)),FALSE))), (7-(AO$24-$I230))/6, AND(AO$24-$I230 &gt;=7,NOT(_xlfn.IFNA(ISNUMBER(SEARCH("Rending",$L230)),FALSE))), 0, AO$24-$I230 =7, (7-(AO$24-1-$I230))/6, AO$24-$I230 =8, (7-(AO$24-2-$I230))/6*2/3, AO$24-$I230 =9, (7-(AO$24-3-$I230))/6*1/3, TRUE, 0) *
IF(ISNUMBER(SEARCH("Ordinance",$L230)),7/6,1) *
IF(OR(ISNUMBER(SEARCH("Melee",$L230)),ISNUMBER(SEARCH("Bypass",$L230))),1.5,1)</f>
        <v>0</v>
      </c>
      <c r="AP230" s="17" cm="1">
        <f t="array" ref="AP230">$H230 *
IF(ISNUMBER(SEARCH("Rapid",$L230)),7/6,1) *
IF(OR(ISNUMBER(SEARCH("Beam",$L230)),ISNUMBER(SEARCH("Firestorm",$L230))),1, IF(ISNUMBER(SEARCH("Blast",$L230)),(4+$G230+(2-$G230)*0.5)/6*2,(4+$G230)/6)) *
_xlfn.IFS(AP$24-$I230 &lt;=1, 5/6, AP$24-$I230 &lt;=5, (7-(AP$24-$I230))/6, AND(AP$24-$I230 =6,NOT(_xlfn.IFNA(ISNUMBER(SEARCH("Rending",$L230)),FALSE))), (7-(AP$24-$I230))/6, AND(AP$24-$I230 &gt;=7,NOT(_xlfn.IFNA(ISNUMBER(SEARCH("Rending",$L230)),FALSE))), 0, AP$24-$I230 =7, (7-(AP$24-1-$I230))/6, AP$24-$I230 =8, (7-(AP$24-2-$I230))/6*2/3, AP$24-$I230 =9, (7-(AP$24-3-$I230))/6*1/3, TRUE, 0) *
IF(ISNUMBER(SEARCH("Ordinance",$L230)),7/6,1) *
IF(OR(ISNUMBER(SEARCH("Melee",$L230)),ISNUMBER(SEARCH("Bypass",$L230))),1.5,1)</f>
        <v>0</v>
      </c>
      <c r="AQ230" s="17" cm="1">
        <f t="array" ref="AQ230">$H230 *
IF(ISNUMBER(SEARCH("Rapid",$L230)),7/6,1) *
IF(OR(ISNUMBER(SEARCH("Beam",$L230)),ISNUMBER(SEARCH("Firestorm",$L230))),1, IF(ISNUMBER(SEARCH("Blast",$L230)),(4+$G230+(2-$G230)*0.5)/6*2,(4+$G230)/6)) *
_xlfn.IFS(AQ$24-$I230 &lt;=1, 5/6, AQ$24-$I230 &lt;=5, (7-(AQ$24-$I230))/6, AND(AQ$24-$I230 =6,NOT(_xlfn.IFNA(ISNUMBER(SEARCH("Rending",$L230)),FALSE))), (7-(AQ$24-$I230))/6, AND(AQ$24-$I230 &gt;=7,NOT(_xlfn.IFNA(ISNUMBER(SEARCH("Rending",$L230)),FALSE))), 0, AQ$24-$I230 =7, (7-(AQ$24-1-$I230))/6, AQ$24-$I230 =8, (7-(AQ$24-2-$I230))/6*2/3, AQ$24-$I230 =9, (7-(AQ$24-3-$I230))/6*1/3, TRUE, 0) *
IF(ISNUMBER(SEARCH("Ordinance",$L230)),7/6,1) *
IF(OR(ISNUMBER(SEARCH("Melee",$L230)),ISNUMBER(SEARCH("Bypass",$L230))),1.5,1)</f>
        <v>0</v>
      </c>
    </row>
    <row r="231" spans="1:48" x14ac:dyDescent="0.3">
      <c r="A231" t="s">
        <v>808</v>
      </c>
      <c r="B231" s="3">
        <v>16</v>
      </c>
      <c r="C231" s="3">
        <v>32</v>
      </c>
      <c r="D231" s="3">
        <v>1</v>
      </c>
      <c r="E231" s="3">
        <v>1</v>
      </c>
      <c r="F231" s="10">
        <v>1</v>
      </c>
      <c r="G231" s="10"/>
      <c r="H231" s="3">
        <v>1</v>
      </c>
      <c r="I231" s="8" t="s">
        <v>809</v>
      </c>
      <c r="J231" s="3" t="s">
        <v>810</v>
      </c>
      <c r="K231" s="3">
        <v>10</v>
      </c>
      <c r="L231" s="3" t="s">
        <v>808</v>
      </c>
      <c r="V231" s="16">
        <f t="shared" si="65"/>
        <v>0.27777777777777779</v>
      </c>
      <c r="W231" s="16">
        <f t="shared" si="66"/>
        <v>0.41666666666666669</v>
      </c>
      <c r="X231" s="17" t="e" cm="1">
        <f t="array" ref="X231">$H231 *
IF(ISNUMBER(SEARCH("Rapid",$L231)),7/6,1) *
IF(OR(ISNUMBER(SEARCH("Beam",$L231)),ISNUMBER(SEARCH("Firestorm",$L231))),1, IF(ISNUMBER(SEARCH("Blast",$L231)),(4+$F231+(2-$F231)*0.5)/6*2,(4+$F231)/6)) *
IF(ISNUMBER(SEARCH("Fusion",$L231)), _xlfn.IFS(X$24-$I231 &lt;=1, 9/10, X$24-$I231 &lt;=10,(11-(X$24-$I231))/10, X$24-$I231 &gt;=11, 0),
_xlfn.IFS(X$24-$I231 &lt;=1, 5/6, X$24-$I231 &lt;=5, (7-(X$24-$I231))/6, AND(X$24-$I231 =6,NOT(_xlfn.IFNA(ISNUMBER(SEARCH("Rending",$L231)),FALSE))), (7-(X$24-$I231))/6, AND(X$24-$I231 &gt;=7,NOT(_xlfn.IFNA(ISNUMBER(SEARCH("Rending",$L231)),FALSE))), 0, X$24-$I231 =7, (7-(X$24-1-$I231))/6, X$24-$I231 =8, (7-(X$24-2-$I231))/6*2/3, X$24-$I231 =9, (7-(X$24-3-$I231))/6*1/3, TRUE, 0)) *
IF(ISNUMBER(SEARCH("Ordinance",$L231)),7/6,1) *
IF(OR(ISNUMBER(SEARCH("Melee",$L231)),ISNUMBER(SEARCH("Bypass",$L231))),1.5,1)</f>
        <v>#VALUE!</v>
      </c>
      <c r="Y231" s="17" t="e" cm="1">
        <f t="array" ref="Y231">$H231 *
IF(ISNUMBER(SEARCH("Rapid",$L231)),7/6,1) *
IF(OR(ISNUMBER(SEARCH("Beam",$L231)),ISNUMBER(SEARCH("Firestorm",$L231))),1, IF(ISNUMBER(SEARCH("Blast",$L231)),(4+$F231+(2-$F231)*0.5)/6*2,(4+$F231)/6)) *
IF(ISNUMBER(SEARCH("Fusion",$L231)), _xlfn.IFS(Y$24-$I231 &lt;=1, 9/10, Y$24-$I231 &lt;=10,(11-(Y$24-$I231))/10, Y$24-$I231 &gt;=11, 0),
_xlfn.IFS(Y$24-$I231 &lt;=1, 5/6, Y$24-$I231 &lt;=5, (7-(Y$24-$I231))/6, AND(Y$24-$I231 =6,NOT(_xlfn.IFNA(ISNUMBER(SEARCH("Rending",$L231)),FALSE))), (7-(Y$24-$I231))/6, AND(Y$24-$I231 &gt;=7,NOT(_xlfn.IFNA(ISNUMBER(SEARCH("Rending",$L231)),FALSE))), 0, Y$24-$I231 =7, (7-(Y$24-1-$I231))/6, Y$24-$I231 =8, (7-(Y$24-2-$I231))/6*2/3, Y$24-$I231 =9, (7-(Y$24-3-$I231))/6*1/3, TRUE, 0)) *
IF(ISNUMBER(SEARCH("Ordinance",$L231)),7/6,1) *
IF(OR(ISNUMBER(SEARCH("Melee",$L231)),ISNUMBER(SEARCH("Bypass",$L231))),1.5,1)</f>
        <v>#VALUE!</v>
      </c>
      <c r="Z231" s="17" t="e" cm="1">
        <f t="array" ref="Z231">$H231 *
IF(ISNUMBER(SEARCH("Rapid",$L231)),7/6,1) *
IF(OR(ISNUMBER(SEARCH("Beam",$L231)),ISNUMBER(SEARCH("Firestorm",$L231))),1, IF(ISNUMBER(SEARCH("Blast",$L231)),(4+$F231+(2-$F231)*0.5)/6*2,(4+$F231)/6)) *
IF(ISNUMBER(SEARCH("Fusion",$L231)), _xlfn.IFS(Z$24-$I231 &lt;=1, 9/10, Z$24-$I231 &lt;=10,(11-(Z$24-$I231))/10, Z$24-$I231 &gt;=11, 0),
_xlfn.IFS(Z$24-$I231 &lt;=1, 5/6, Z$24-$I231 &lt;=5, (7-(Z$24-$I231))/6, AND(Z$24-$I231 =6,NOT(_xlfn.IFNA(ISNUMBER(SEARCH("Rending",$L231)),FALSE))), (7-(Z$24-$I231))/6, AND(Z$24-$I231 &gt;=7,NOT(_xlfn.IFNA(ISNUMBER(SEARCH("Rending",$L231)),FALSE))), 0, Z$24-$I231 =7, (7-(Z$24-1-$I231))/6, Z$24-$I231 =8, (7-(Z$24-2-$I231))/6*2/3, Z$24-$I231 =9, (7-(Z$24-3-$I231))/6*1/3, TRUE, 0)) *
IF(ISNUMBER(SEARCH("Ordinance",$L231)),7/6,1) *
IF(OR(ISNUMBER(SEARCH("Melee",$L231)),ISNUMBER(SEARCH("Bypass",$L231))),1.5,1)</f>
        <v>#VALUE!</v>
      </c>
      <c r="AA231" s="17" t="e" cm="1">
        <f t="array" ref="AA231">$H231 *
IF(ISNUMBER(SEARCH("Rapid",$L231)),7/6,1) *
IF(OR(ISNUMBER(SEARCH("Beam",$L231)),ISNUMBER(SEARCH("Firestorm",$L231))),1, IF(ISNUMBER(SEARCH("Blast",$L231)),(4+$F231+(2-$F231)*0.5)/6*2,(4+$F231)/6)) *
IF(ISNUMBER(SEARCH("Fusion",$L231)), _xlfn.IFS(AA$24-$I231 &lt;=1, 9/10, AA$24-$I231 &lt;=10,(11-(AA$24-$I231))/10, AA$24-$I231 &gt;=11, 0),
_xlfn.IFS(AA$24-$I231 &lt;=1, 5/6, AA$24-$I231 &lt;=5, (7-(AA$24-$I231))/6, AND(AA$24-$I231 =6,NOT(_xlfn.IFNA(ISNUMBER(SEARCH("Rending",$L231)),FALSE))), (7-(AA$24-$I231))/6, AND(AA$24-$I231 &gt;=7,NOT(_xlfn.IFNA(ISNUMBER(SEARCH("Rending",$L231)),FALSE))), 0, AA$24-$I231 =7, (7-(AA$24-1-$I231))/6, AA$24-$I231 =8, (7-(AA$24-2-$I231))/6*2/3, AA$24-$I231 =9, (7-(AA$24-3-$I231))/6*1/3, TRUE, 0)) *
IF(ISNUMBER(SEARCH("Ordinance",$L231)),7/6,1) *
IF(OR(ISNUMBER(SEARCH("Melee",$L231)),ISNUMBER(SEARCH("Bypass",$L231))),1.5,1)</f>
        <v>#VALUE!</v>
      </c>
      <c r="AB231" s="17" t="e" cm="1">
        <f t="array" ref="AB231">$H231 *
IF(ISNUMBER(SEARCH("Rapid",$L231)),7/6,1) *
IF(OR(ISNUMBER(SEARCH("Beam",$L231)),ISNUMBER(SEARCH("Firestorm",$L231))),1, IF(ISNUMBER(SEARCH("Blast",$L231)),(4+$F231+(2-$F231)*0.5)/6*2,(4+$F231)/6)) *
IF(ISNUMBER(SEARCH("Fusion",$L231)), _xlfn.IFS(AB$24-$I231 &lt;=1, 9/10, AB$24-$I231 &lt;=10,(11-(AB$24-$I231))/10, AB$24-$I231 &gt;=11, 0),
_xlfn.IFS(AB$24-$I231 &lt;=1, 5/6, AB$24-$I231 &lt;=5, (7-(AB$24-$I231))/6, AND(AB$24-$I231 =6,NOT(_xlfn.IFNA(ISNUMBER(SEARCH("Rending",$L231)),FALSE))), (7-(AB$24-$I231))/6, AND(AB$24-$I231 &gt;=7,NOT(_xlfn.IFNA(ISNUMBER(SEARCH("Rending",$L231)),FALSE))), 0, AB$24-$I231 =7, (7-(AB$24-1-$I231))/6, AB$24-$I231 =8, (7-(AB$24-2-$I231))/6*2/3, AB$24-$I231 =9, (7-(AB$24-3-$I231))/6*1/3, TRUE, 0)) *
IF(ISNUMBER(SEARCH("Ordinance",$L231)),7/6,1) *
IF(OR(ISNUMBER(SEARCH("Melee",$L231)),ISNUMBER(SEARCH("Bypass",$L231))),1.5,1)</f>
        <v>#VALUE!</v>
      </c>
      <c r="AC231" s="17" t="e" cm="1">
        <f t="array" ref="AC231">$H231 *
IF(ISNUMBER(SEARCH("Rapid",$L231)),7/6,1) *
IF(OR(ISNUMBER(SEARCH("Beam",$L231)),ISNUMBER(SEARCH("Firestorm",$L231))),1, IF(ISNUMBER(SEARCH("Blast",$L231)),(4+$F231+(2-$F231)*0.5)/6*2,(4+$F231)/6)) *
IF(ISNUMBER(SEARCH("Fusion",$L231)), _xlfn.IFS(AC$24-$I231 &lt;=1, 9/10, AC$24-$I231 &lt;=10,(11-(AC$24-$I231))/10, AC$24-$I231 &gt;=11, 0),
_xlfn.IFS(AC$24-$I231 &lt;=1, 5/6, AC$24-$I231 &lt;=5, (7-(AC$24-$I231))/6, AND(AC$24-$I231 =6,NOT(_xlfn.IFNA(ISNUMBER(SEARCH("Rending",$L231)),FALSE))), (7-(AC$24-$I231))/6, AND(AC$24-$I231 &gt;=7,NOT(_xlfn.IFNA(ISNUMBER(SEARCH("Rending",$L231)),FALSE))), 0, AC$24-$I231 =7, (7-(AC$24-1-$I231))/6, AC$24-$I231 =8, (7-(AC$24-2-$I231))/6*2/3, AC$24-$I231 =9, (7-(AC$24-3-$I231))/6*1/3, TRUE, 0)) *
IF(ISNUMBER(SEARCH("Ordinance",$L231)),7/6,1) *
IF(OR(ISNUMBER(SEARCH("Melee",$L231)),ISNUMBER(SEARCH("Bypass",$L231))),1.5,1)</f>
        <v>#VALUE!</v>
      </c>
      <c r="AD231" s="17" t="e" cm="1">
        <f t="array" ref="AD231">$H231 *
IF(ISNUMBER(SEARCH("Rapid",$L231)),7/6,1) *
IF(OR(ISNUMBER(SEARCH("Beam",$L231)),ISNUMBER(SEARCH("Firestorm",$L231))),1, IF(ISNUMBER(SEARCH("Blast",$L231)),(4+$F231+(2-$F231)*0.5)/6*2,(4+$F231)/6)) *
IF(ISNUMBER(SEARCH("Fusion",$L231)), _xlfn.IFS(AD$24-$I231 &lt;=1, 9/10, AD$24-$I231 &lt;=10,(11-(AD$24-$I231))/10, AD$24-$I231 &gt;=11, 0),
_xlfn.IFS(AD$24-$I231 &lt;=1, 5/6, AD$24-$I231 &lt;=5, (7-(AD$24-$I231))/6, AND(AD$24-$I231 =6,NOT(_xlfn.IFNA(ISNUMBER(SEARCH("Rending",$L231)),FALSE))), (7-(AD$24-$I231))/6, AND(AD$24-$I231 &gt;=7,NOT(_xlfn.IFNA(ISNUMBER(SEARCH("Rending",$L231)),FALSE))), 0, AD$24-$I231 =7, (7-(AD$24-1-$I231))/6, AD$24-$I231 =8, (7-(AD$24-2-$I231))/6*2/3, AD$24-$I231 =9, (7-(AD$24-3-$I231))/6*1/3, TRUE, 0)) *
IF(ISNUMBER(SEARCH("Ordinance",$L231)),7/6,1) *
IF(OR(ISNUMBER(SEARCH("Melee",$L231)),ISNUMBER(SEARCH("Bypass",$L231))),1.5,1)</f>
        <v>#VALUE!</v>
      </c>
      <c r="AE231" s="17" t="e" cm="1">
        <f t="array" ref="AE231">$H231 *
IF(ISNUMBER(SEARCH("Rapid",$L231)),7/6,1) *
IF(OR(ISNUMBER(SEARCH("Beam",$L231)),ISNUMBER(SEARCH("Firestorm",$L231))),1, IF(ISNUMBER(SEARCH("Blast",$L231)),(4+$F231+(2-$F231)*0.5)/6*2,(4+$F231)/6)) *
IF(ISNUMBER(SEARCH("Fusion",$L231)), _xlfn.IFS(AE$24-$I231 &lt;=1, 9/10, AE$24-$I231 &lt;=10,(11-(AE$24-$I231))/10, AE$24-$I231 &gt;=11, 0),
_xlfn.IFS(AE$24-$I231 &lt;=1, 5/6, AE$24-$I231 &lt;=5, (7-(AE$24-$I231))/6, AND(AE$24-$I231 =6,NOT(_xlfn.IFNA(ISNUMBER(SEARCH("Rending",$L231)),FALSE))), (7-(AE$24-$I231))/6, AND(AE$24-$I231 &gt;=7,NOT(_xlfn.IFNA(ISNUMBER(SEARCH("Rending",$L231)),FALSE))), 0, AE$24-$I231 =7, (7-(AE$24-1-$I231))/6, AE$24-$I231 =8, (7-(AE$24-2-$I231))/6*2/3, AE$24-$I231 =9, (7-(AE$24-3-$I231))/6*1/3, TRUE, 0)) *
IF(ISNUMBER(SEARCH("Ordinance",$L231)),7/6,1) *
IF(OR(ISNUMBER(SEARCH("Melee",$L231)),ISNUMBER(SEARCH("Bypass",$L231))),1.5,1)</f>
        <v>#VALUE!</v>
      </c>
      <c r="AF231" s="17" t="e" cm="1">
        <f t="array" ref="AF231">$H231 *
IF(ISNUMBER(SEARCH("Rapid",$L231)),7/6,1) *
IF(OR(ISNUMBER(SEARCH("Beam",$L231)),ISNUMBER(SEARCH("Firestorm",$L231))),1, IF(ISNUMBER(SEARCH("Blast",$L231)),(4+$F231+(2-$F231)*0.5)/6*2,(4+$F231)/6)) *
IF(ISNUMBER(SEARCH("Fusion",$L231)), _xlfn.IFS(AF$24-$I231 &lt;=1, 9/10, AF$24-$I231 &lt;=10,(11-(AF$24-$I231))/10, AF$24-$I231 &gt;=11, 0),
_xlfn.IFS(AF$24-$I231 &lt;=1, 5/6, AF$24-$I231 &lt;=5, (7-(AF$24-$I231))/6, AND(AF$24-$I231 =6,NOT(_xlfn.IFNA(ISNUMBER(SEARCH("Rending",$L231)),FALSE))), (7-(AF$24-$I231))/6, AND(AF$24-$I231 &gt;=7,NOT(_xlfn.IFNA(ISNUMBER(SEARCH("Rending",$L231)),FALSE))), 0, AF$24-$I231 =7, (7-(AF$24-1-$I231))/6, AF$24-$I231 =8, (7-(AF$24-2-$I231))/6*2/3, AF$24-$I231 =9, (7-(AF$24-3-$I231))/6*1/3, TRUE, 0)) *
IF(ISNUMBER(SEARCH("Ordinance",$L231)),7/6,1) *
IF(OR(ISNUMBER(SEARCH("Melee",$L231)),ISNUMBER(SEARCH("Bypass",$L231))),1.5,1)</f>
        <v>#VALUE!</v>
      </c>
      <c r="AG231" s="16">
        <f t="shared" si="67"/>
        <v>0.22222222222222221</v>
      </c>
      <c r="AH231" s="16">
        <f t="shared" si="68"/>
        <v>0.33333333333333331</v>
      </c>
      <c r="AI231" s="17" t="e" cm="1">
        <f t="array" ref="AI231">$H231 *
IF(ISNUMBER(SEARCH("Rapid",$L231)),7/6,1) *
IF(OR(ISNUMBER(SEARCH("Beam",$L231)),ISNUMBER(SEARCH("Firestorm",$L231))),1, IF(ISNUMBER(SEARCH("Blast",$L231)),(4+$G231+(2-$G231)*0.5)/6*2,(4+$G231)/6)) *
_xlfn.IFS(AI$24-$I231 &lt;=1, 5/6, AI$24-$I231 &lt;=5, (7-(AI$24-$I231))/6, AND(AI$24-$I231 =6,NOT(_xlfn.IFNA(ISNUMBER(SEARCH("Rending",$L231)),FALSE))), (7-(AI$24-$I231))/6, AND(AI$24-$I231 &gt;=7,NOT(_xlfn.IFNA(ISNUMBER(SEARCH("Rending",$L231)),FALSE))), 0, AI$24-$I231 =7, (7-(AI$24-1-$I231))/6, AI$24-$I231 =8, (7-(AI$24-2-$I231))/6*2/3, AI$24-$I231 =9, (7-(AI$24-3-$I231))/6*1/3, TRUE, 0) *
IF(ISNUMBER(SEARCH("Ordinance",$L231)),7/6,1) *
IF(OR(ISNUMBER(SEARCH("Melee",$L231)),ISNUMBER(SEARCH("Bypass",$L231))),1.5,1)</f>
        <v>#VALUE!</v>
      </c>
      <c r="AJ231" s="17" t="e" cm="1">
        <f t="array" ref="AJ231">$H231 *
IF(ISNUMBER(SEARCH("Rapid",$L231)),7/6,1) *
IF(OR(ISNUMBER(SEARCH("Beam",$L231)),ISNUMBER(SEARCH("Firestorm",$L231))),1, IF(ISNUMBER(SEARCH("Blast",$L231)),(4+$G231+(2-$G231)*0.5)/6*2,(4+$G231)/6)) *
_xlfn.IFS(AJ$24-$I231 &lt;=1, 5/6, AJ$24-$I231 &lt;=5, (7-(AJ$24-$I231))/6, AND(AJ$24-$I231 =6,NOT(_xlfn.IFNA(ISNUMBER(SEARCH("Rending",$L231)),FALSE))), (7-(AJ$24-$I231))/6, AND(AJ$24-$I231 &gt;=7,NOT(_xlfn.IFNA(ISNUMBER(SEARCH("Rending",$L231)),FALSE))), 0, AJ$24-$I231 =7, (7-(AJ$24-1-$I231))/6, AJ$24-$I231 =8, (7-(AJ$24-2-$I231))/6*2/3, AJ$24-$I231 =9, (7-(AJ$24-3-$I231))/6*1/3, TRUE, 0) *
IF(ISNUMBER(SEARCH("Ordinance",$L231)),7/6,1) *
IF(OR(ISNUMBER(SEARCH("Melee",$L231)),ISNUMBER(SEARCH("Bypass",$L231))),1.5,1)</f>
        <v>#VALUE!</v>
      </c>
      <c r="AK231" s="17" t="e" cm="1">
        <f t="array" ref="AK231">$H231 *
IF(ISNUMBER(SEARCH("Rapid",$L231)),7/6,1) *
IF(OR(ISNUMBER(SEARCH("Beam",$L231)),ISNUMBER(SEARCH("Firestorm",$L231))),1, IF(ISNUMBER(SEARCH("Blast",$L231)),(4+$G231+(2-$G231)*0.5)/6*2,(4+$G231)/6)) *
_xlfn.IFS(AK$24-$I231 &lt;=1, 5/6, AK$24-$I231 &lt;=5, (7-(AK$24-$I231))/6, AND(AK$24-$I231 =6,NOT(_xlfn.IFNA(ISNUMBER(SEARCH("Rending",$L231)),FALSE))), (7-(AK$24-$I231))/6, AND(AK$24-$I231 &gt;=7,NOT(_xlfn.IFNA(ISNUMBER(SEARCH("Rending",$L231)),FALSE))), 0, AK$24-$I231 =7, (7-(AK$24-1-$I231))/6, AK$24-$I231 =8, (7-(AK$24-2-$I231))/6*2/3, AK$24-$I231 =9, (7-(AK$24-3-$I231))/6*1/3, TRUE, 0) *
IF(ISNUMBER(SEARCH("Ordinance",$L231)),7/6,1) *
IF(OR(ISNUMBER(SEARCH("Melee",$L231)),ISNUMBER(SEARCH("Bypass",$L231))),1.5,1)</f>
        <v>#VALUE!</v>
      </c>
      <c r="AL231" s="17" t="e" cm="1">
        <f t="array" ref="AL231">$H231 *
IF(ISNUMBER(SEARCH("Rapid",$L231)),7/6,1) *
IF(OR(ISNUMBER(SEARCH("Beam",$L231)),ISNUMBER(SEARCH("Firestorm",$L231))),1, IF(ISNUMBER(SEARCH("Blast",$L231)),(4+$G231+(2-$G231)*0.5)/6*2,(4+$G231)/6)) *
_xlfn.IFS(AL$24-$I231 &lt;=1, 5/6, AL$24-$I231 &lt;=5, (7-(AL$24-$I231))/6, AND(AL$24-$I231 =6,NOT(_xlfn.IFNA(ISNUMBER(SEARCH("Rending",$L231)),FALSE))), (7-(AL$24-$I231))/6, AND(AL$24-$I231 &gt;=7,NOT(_xlfn.IFNA(ISNUMBER(SEARCH("Rending",$L231)),FALSE))), 0, AL$24-$I231 =7, (7-(AL$24-1-$I231))/6, AL$24-$I231 =8, (7-(AL$24-2-$I231))/6*2/3, AL$24-$I231 =9, (7-(AL$24-3-$I231))/6*1/3, TRUE, 0) *
IF(ISNUMBER(SEARCH("Ordinance",$L231)),7/6,1) *
IF(OR(ISNUMBER(SEARCH("Melee",$L231)),ISNUMBER(SEARCH("Bypass",$L231))),1.5,1)</f>
        <v>#VALUE!</v>
      </c>
      <c r="AM231" s="17" t="e" cm="1">
        <f t="array" ref="AM231">$H231 *
IF(ISNUMBER(SEARCH("Rapid",$L231)),7/6,1) *
IF(OR(ISNUMBER(SEARCH("Beam",$L231)),ISNUMBER(SEARCH("Firestorm",$L231))),1, IF(ISNUMBER(SEARCH("Blast",$L231)),(4+$G231+(2-$G231)*0.5)/6*2,(4+$G231)/6)) *
_xlfn.IFS(AM$24-$I231 &lt;=1, 5/6, AM$24-$I231 &lt;=5, (7-(AM$24-$I231))/6, AND(AM$24-$I231 =6,NOT(_xlfn.IFNA(ISNUMBER(SEARCH("Rending",$L231)),FALSE))), (7-(AM$24-$I231))/6, AND(AM$24-$I231 &gt;=7,NOT(_xlfn.IFNA(ISNUMBER(SEARCH("Rending",$L231)),FALSE))), 0, AM$24-$I231 =7, (7-(AM$24-1-$I231))/6, AM$24-$I231 =8, (7-(AM$24-2-$I231))/6*2/3, AM$24-$I231 =9, (7-(AM$24-3-$I231))/6*1/3, TRUE, 0) *
IF(ISNUMBER(SEARCH("Ordinance",$L231)),7/6,1) *
IF(OR(ISNUMBER(SEARCH("Melee",$L231)),ISNUMBER(SEARCH("Bypass",$L231))),1.5,1)</f>
        <v>#VALUE!</v>
      </c>
      <c r="AN231" s="17" t="e" cm="1">
        <f t="array" ref="AN231">$H231 *
IF(ISNUMBER(SEARCH("Rapid",$L231)),7/6,1) *
IF(OR(ISNUMBER(SEARCH("Beam",$L231)),ISNUMBER(SEARCH("Firestorm",$L231))),1, IF(ISNUMBER(SEARCH("Blast",$L231)),(4+$G231+(2-$G231)*0.5)/6*2,(4+$G231)/6)) *
_xlfn.IFS(AN$24-$I231 &lt;=1, 5/6, AN$24-$I231 &lt;=5, (7-(AN$24-$I231))/6, AND(AN$24-$I231 =6,NOT(_xlfn.IFNA(ISNUMBER(SEARCH("Rending",$L231)),FALSE))), (7-(AN$24-$I231))/6, AND(AN$24-$I231 &gt;=7,NOT(_xlfn.IFNA(ISNUMBER(SEARCH("Rending",$L231)),FALSE))), 0, AN$24-$I231 =7, (7-(AN$24-1-$I231))/6, AN$24-$I231 =8, (7-(AN$24-2-$I231))/6*2/3, AN$24-$I231 =9, (7-(AN$24-3-$I231))/6*1/3, TRUE, 0) *
IF(ISNUMBER(SEARCH("Ordinance",$L231)),7/6,1) *
IF(OR(ISNUMBER(SEARCH("Melee",$L231)),ISNUMBER(SEARCH("Bypass",$L231))),1.5,1)</f>
        <v>#VALUE!</v>
      </c>
      <c r="AO231" s="17" t="e" cm="1">
        <f t="array" ref="AO231">$H231 *
IF(ISNUMBER(SEARCH("Rapid",$L231)),7/6,1) *
IF(OR(ISNUMBER(SEARCH("Beam",$L231)),ISNUMBER(SEARCH("Firestorm",$L231))),1, IF(ISNUMBER(SEARCH("Blast",$L231)),(4+$G231+(2-$G231)*0.5)/6*2,(4+$G231)/6)) *
_xlfn.IFS(AO$24-$I231 &lt;=1, 5/6, AO$24-$I231 &lt;=5, (7-(AO$24-$I231))/6, AND(AO$24-$I231 =6,NOT(_xlfn.IFNA(ISNUMBER(SEARCH("Rending",$L231)),FALSE))), (7-(AO$24-$I231))/6, AND(AO$24-$I231 &gt;=7,NOT(_xlfn.IFNA(ISNUMBER(SEARCH("Rending",$L231)),FALSE))), 0, AO$24-$I231 =7, (7-(AO$24-1-$I231))/6, AO$24-$I231 =8, (7-(AO$24-2-$I231))/6*2/3, AO$24-$I231 =9, (7-(AO$24-3-$I231))/6*1/3, TRUE, 0) *
IF(ISNUMBER(SEARCH("Ordinance",$L231)),7/6,1) *
IF(OR(ISNUMBER(SEARCH("Melee",$L231)),ISNUMBER(SEARCH("Bypass",$L231))),1.5,1)</f>
        <v>#VALUE!</v>
      </c>
      <c r="AP231" s="17" t="e" cm="1">
        <f t="array" ref="AP231">$H231 *
IF(ISNUMBER(SEARCH("Rapid",$L231)),7/6,1) *
IF(OR(ISNUMBER(SEARCH("Beam",$L231)),ISNUMBER(SEARCH("Firestorm",$L231))),1, IF(ISNUMBER(SEARCH("Blast",$L231)),(4+$G231+(2-$G231)*0.5)/6*2,(4+$G231)/6)) *
_xlfn.IFS(AP$24-$I231 &lt;=1, 5/6, AP$24-$I231 &lt;=5, (7-(AP$24-$I231))/6, AND(AP$24-$I231 =6,NOT(_xlfn.IFNA(ISNUMBER(SEARCH("Rending",$L231)),FALSE))), (7-(AP$24-$I231))/6, AND(AP$24-$I231 &gt;=7,NOT(_xlfn.IFNA(ISNUMBER(SEARCH("Rending",$L231)),FALSE))), 0, AP$24-$I231 =7, (7-(AP$24-1-$I231))/6, AP$24-$I231 =8, (7-(AP$24-2-$I231))/6*2/3, AP$24-$I231 =9, (7-(AP$24-3-$I231))/6*1/3, TRUE, 0) *
IF(ISNUMBER(SEARCH("Ordinance",$L231)),7/6,1) *
IF(OR(ISNUMBER(SEARCH("Melee",$L231)),ISNUMBER(SEARCH("Bypass",$L231))),1.5,1)</f>
        <v>#VALUE!</v>
      </c>
      <c r="AQ231" s="17" t="e" cm="1">
        <f t="array" ref="AQ231">$H231 *
IF(ISNUMBER(SEARCH("Rapid",$L231)),7/6,1) *
IF(OR(ISNUMBER(SEARCH("Beam",$L231)),ISNUMBER(SEARCH("Firestorm",$L231))),1, IF(ISNUMBER(SEARCH("Blast",$L231)),(4+$G231+(2-$G231)*0.5)/6*2,(4+$G231)/6)) *
_xlfn.IFS(AQ$24-$I231 &lt;=1, 5/6, AQ$24-$I231 &lt;=5, (7-(AQ$24-$I231))/6, AND(AQ$24-$I231 =6,NOT(_xlfn.IFNA(ISNUMBER(SEARCH("Rending",$L231)),FALSE))), (7-(AQ$24-$I231))/6, AND(AQ$24-$I231 &gt;=7,NOT(_xlfn.IFNA(ISNUMBER(SEARCH("Rending",$L231)),FALSE))), 0, AQ$24-$I231 =7, (7-(AQ$24-1-$I231))/6, AQ$24-$I231 =8, (7-(AQ$24-2-$I231))/6*2/3, AQ$24-$I231 =9, (7-(AQ$24-3-$I231))/6*1/3, TRUE, 0) *
IF(ISNUMBER(SEARCH("Ordinance",$L231)),7/6,1) *
IF(OR(ISNUMBER(SEARCH("Melee",$L231)),ISNUMBER(SEARCH("Bypass",$L231))),1.5,1)</f>
        <v>#VALUE!</v>
      </c>
      <c r="AS231" s="16">
        <f t="shared" ref="AS231:AS255" si="72">IF($E231=1,AG231*3,IF($E231=2,2*AG231,1.1*AG231))/3</f>
        <v>0.22222222222222221</v>
      </c>
      <c r="AT231" s="16">
        <f t="shared" ref="AT231:AT255" si="73">IF($E231=1,AH231*3,IF($E231=2,2*AH231,1.1*AH231))/3</f>
        <v>0.33333333333333331</v>
      </c>
      <c r="AU231" s="16" t="e">
        <f t="shared" ref="AU231:AU255" si="74">IF(D231+E231=3,
 IF(E231=3, 2.5*AI231,
  IF(E231=2, 1.8*AI231+0.7*X231,
   IF(E231=1, 0.95*AI231+1.55*X231,
    2.5*X231))),
 IF(D231+E231=2,
  IF(E231=2, 1.55*AI231,
   IF(E231 =1, 0.85*AI231+0.7*X231,
    1.55*X231)),
  IF(E231=1, 0.95*AI231,
   0.7*X231))
)/3</f>
        <v>#VALUE!</v>
      </c>
      <c r="AV231" s="2">
        <v>11</v>
      </c>
    </row>
    <row r="232" spans="1:48" x14ac:dyDescent="0.3">
      <c r="A232" t="s">
        <v>823</v>
      </c>
      <c r="B232" s="3">
        <v>8</v>
      </c>
      <c r="C232" s="3">
        <v>60</v>
      </c>
      <c r="E232" s="3">
        <v>1</v>
      </c>
      <c r="F232" s="10">
        <v>-1</v>
      </c>
      <c r="G232" s="10"/>
      <c r="H232" s="3">
        <v>1</v>
      </c>
      <c r="I232" s="8">
        <v>5</v>
      </c>
      <c r="J232" s="3" t="s">
        <v>810</v>
      </c>
      <c r="K232" s="3">
        <v>0</v>
      </c>
      <c r="L232" s="3" t="s">
        <v>824</v>
      </c>
      <c r="V232" s="16">
        <f t="shared" si="65"/>
        <v>0.16666666666666666</v>
      </c>
      <c r="W232" s="16">
        <f t="shared" si="66"/>
        <v>0.25</v>
      </c>
      <c r="X232" s="17" cm="1">
        <f t="array" ref="X232">$H232 *
IF(ISNUMBER(SEARCH("Rapid",$L232)),7/6,1) *
IF(OR(ISNUMBER(SEARCH("Beam",$L232)),ISNUMBER(SEARCH("Firestorm",$L232))),1, IF(ISNUMBER(SEARCH("Blast",$L232)),(4+$F232+(2-$F232)*0.5)/6*2,(4+$F232)/6)) *
IF(ISNUMBER(SEARCH("Fusion",$L232)), _xlfn.IFS(X$24-$I232 &lt;=1, 9/10, X$24-$I232 &lt;=10,(11-(X$24-$I232))/10, X$24-$I232 &gt;=11, 0),
_xlfn.IFS(X$24-$I232 &lt;=1, 5/6, X$24-$I232 &lt;=5, (7-(X$24-$I232))/6, AND(X$24-$I232 =6,NOT(_xlfn.IFNA(ISNUMBER(SEARCH("Rending",$L232)),FALSE))), (7-(X$24-$I232))/6, AND(X$24-$I232 &gt;=7,NOT(_xlfn.IFNA(ISNUMBER(SEARCH("Rending",$L232)),FALSE))), 0, X$24-$I232 =7, (7-(X$24-1-$I232))/6, X$24-$I232 =8, (7-(X$24-2-$I232))/6*2/3, X$24-$I232 =9, (7-(X$24-3-$I232))/6*1/3, TRUE, 0)) *
IF(ISNUMBER(SEARCH("Ordinance",$L232)),7/6,1) *
IF(OR(ISNUMBER(SEARCH("Melee",$L232)),ISNUMBER(SEARCH("Bypass",$L232))),1.5,1)</f>
        <v>0.25</v>
      </c>
      <c r="Y232" s="17" cm="1">
        <f t="array" ref="Y232">$H232 *
IF(ISNUMBER(SEARCH("Rapid",$L232)),7/6,1) *
IF(OR(ISNUMBER(SEARCH("Beam",$L232)),ISNUMBER(SEARCH("Firestorm",$L232))),1, IF(ISNUMBER(SEARCH("Blast",$L232)),(4+$F232+(2-$F232)*0.5)/6*2,(4+$F232)/6)) *
IF(ISNUMBER(SEARCH("Fusion",$L232)), _xlfn.IFS(Y$24-$I232 &lt;=1, 9/10, Y$24-$I232 &lt;=10,(11-(Y$24-$I232))/10, Y$24-$I232 &gt;=11, 0),
_xlfn.IFS(Y$24-$I232 &lt;=1, 5/6, Y$24-$I232 &lt;=5, (7-(Y$24-$I232))/6, AND(Y$24-$I232 =6,NOT(_xlfn.IFNA(ISNUMBER(SEARCH("Rending",$L232)),FALSE))), (7-(Y$24-$I232))/6, AND(Y$24-$I232 &gt;=7,NOT(_xlfn.IFNA(ISNUMBER(SEARCH("Rending",$L232)),FALSE))), 0, Y$24-$I232 =7, (7-(Y$24-1-$I232))/6, Y$24-$I232 =8, (7-(Y$24-2-$I232))/6*2/3, Y$24-$I232 =9, (7-(Y$24-3-$I232))/6*1/3, TRUE, 0)) *
IF(ISNUMBER(SEARCH("Ordinance",$L232)),7/6,1) *
IF(OR(ISNUMBER(SEARCH("Melee",$L232)),ISNUMBER(SEARCH("Bypass",$L232))),1.5,1)</f>
        <v>0.16666666666666666</v>
      </c>
      <c r="Z232" s="17" cm="1">
        <f t="array" ref="Z232">$H232 *
IF(ISNUMBER(SEARCH("Rapid",$L232)),7/6,1) *
IF(OR(ISNUMBER(SEARCH("Beam",$L232)),ISNUMBER(SEARCH("Firestorm",$L232))),1, IF(ISNUMBER(SEARCH("Blast",$L232)),(4+$F232+(2-$F232)*0.5)/6*2,(4+$F232)/6)) *
IF(ISNUMBER(SEARCH("Fusion",$L232)), _xlfn.IFS(Z$24-$I232 &lt;=1, 9/10, Z$24-$I232 &lt;=10,(11-(Z$24-$I232))/10, Z$24-$I232 &gt;=11, 0),
_xlfn.IFS(Z$24-$I232 &lt;=1, 5/6, Z$24-$I232 &lt;=5, (7-(Z$24-$I232))/6, AND(Z$24-$I232 =6,NOT(_xlfn.IFNA(ISNUMBER(SEARCH("Rending",$L232)),FALSE))), (7-(Z$24-$I232))/6, AND(Z$24-$I232 &gt;=7,NOT(_xlfn.IFNA(ISNUMBER(SEARCH("Rending",$L232)),FALSE))), 0, Z$24-$I232 =7, (7-(Z$24-1-$I232))/6, Z$24-$I232 =8, (7-(Z$24-2-$I232))/6*2/3, Z$24-$I232 =9, (7-(Z$24-3-$I232))/6*1/3, TRUE, 0)) *
IF(ISNUMBER(SEARCH("Ordinance",$L232)),7/6,1) *
IF(OR(ISNUMBER(SEARCH("Melee",$L232)),ISNUMBER(SEARCH("Bypass",$L232))),1.5,1)</f>
        <v>8.3333333333333329E-2</v>
      </c>
      <c r="AA232" s="17" cm="1">
        <f t="array" ref="AA232">$H232 *
IF(ISNUMBER(SEARCH("Rapid",$L232)),7/6,1) *
IF(OR(ISNUMBER(SEARCH("Beam",$L232)),ISNUMBER(SEARCH("Firestorm",$L232))),1, IF(ISNUMBER(SEARCH("Blast",$L232)),(4+$F232+(2-$F232)*0.5)/6*2,(4+$F232)/6)) *
IF(ISNUMBER(SEARCH("Fusion",$L232)), _xlfn.IFS(AA$24-$I232 &lt;=1, 9/10, AA$24-$I232 &lt;=10,(11-(AA$24-$I232))/10, AA$24-$I232 &gt;=11, 0),
_xlfn.IFS(AA$24-$I232 &lt;=1, 5/6, AA$24-$I232 &lt;=5, (7-(AA$24-$I232))/6, AND(AA$24-$I232 =6,NOT(_xlfn.IFNA(ISNUMBER(SEARCH("Rending",$L232)),FALSE))), (7-(AA$24-$I232))/6, AND(AA$24-$I232 &gt;=7,NOT(_xlfn.IFNA(ISNUMBER(SEARCH("Rending",$L232)),FALSE))), 0, AA$24-$I232 =7, (7-(AA$24-1-$I232))/6, AA$24-$I232 =8, (7-(AA$24-2-$I232))/6*2/3, AA$24-$I232 =9, (7-(AA$24-3-$I232))/6*1/3, TRUE, 0)) *
IF(ISNUMBER(SEARCH("Ordinance",$L232)),7/6,1) *
IF(OR(ISNUMBER(SEARCH("Melee",$L232)),ISNUMBER(SEARCH("Bypass",$L232))),1.5,1)</f>
        <v>0</v>
      </c>
      <c r="AB232" s="17" cm="1">
        <f t="array" ref="AB232">$H232 *
IF(ISNUMBER(SEARCH("Rapid",$L232)),7/6,1) *
IF(OR(ISNUMBER(SEARCH("Beam",$L232)),ISNUMBER(SEARCH("Firestorm",$L232))),1, IF(ISNUMBER(SEARCH("Blast",$L232)),(4+$F232+(2-$F232)*0.5)/6*2,(4+$F232)/6)) *
IF(ISNUMBER(SEARCH("Fusion",$L232)), _xlfn.IFS(AB$24-$I232 &lt;=1, 9/10, AB$24-$I232 &lt;=10,(11-(AB$24-$I232))/10, AB$24-$I232 &gt;=11, 0),
_xlfn.IFS(AB$24-$I232 &lt;=1, 5/6, AB$24-$I232 &lt;=5, (7-(AB$24-$I232))/6, AND(AB$24-$I232 =6,NOT(_xlfn.IFNA(ISNUMBER(SEARCH("Rending",$L232)),FALSE))), (7-(AB$24-$I232))/6, AND(AB$24-$I232 &gt;=7,NOT(_xlfn.IFNA(ISNUMBER(SEARCH("Rending",$L232)),FALSE))), 0, AB$24-$I232 =7, (7-(AB$24-1-$I232))/6, AB$24-$I232 =8, (7-(AB$24-2-$I232))/6*2/3, AB$24-$I232 =9, (7-(AB$24-3-$I232))/6*1/3, TRUE, 0)) *
IF(ISNUMBER(SEARCH("Ordinance",$L232)),7/6,1) *
IF(OR(ISNUMBER(SEARCH("Melee",$L232)),ISNUMBER(SEARCH("Bypass",$L232))),1.5,1)</f>
        <v>0</v>
      </c>
      <c r="AC232" s="17" cm="1">
        <f t="array" ref="AC232">$H232 *
IF(ISNUMBER(SEARCH("Rapid",$L232)),7/6,1) *
IF(OR(ISNUMBER(SEARCH("Beam",$L232)),ISNUMBER(SEARCH("Firestorm",$L232))),1, IF(ISNUMBER(SEARCH("Blast",$L232)),(4+$F232+(2-$F232)*0.5)/6*2,(4+$F232)/6)) *
IF(ISNUMBER(SEARCH("Fusion",$L232)), _xlfn.IFS(AC$24-$I232 &lt;=1, 9/10, AC$24-$I232 &lt;=10,(11-(AC$24-$I232))/10, AC$24-$I232 &gt;=11, 0),
_xlfn.IFS(AC$24-$I232 &lt;=1, 5/6, AC$24-$I232 &lt;=5, (7-(AC$24-$I232))/6, AND(AC$24-$I232 =6,NOT(_xlfn.IFNA(ISNUMBER(SEARCH("Rending",$L232)),FALSE))), (7-(AC$24-$I232))/6, AND(AC$24-$I232 &gt;=7,NOT(_xlfn.IFNA(ISNUMBER(SEARCH("Rending",$L232)),FALSE))), 0, AC$24-$I232 =7, (7-(AC$24-1-$I232))/6, AC$24-$I232 =8, (7-(AC$24-2-$I232))/6*2/3, AC$24-$I232 =9, (7-(AC$24-3-$I232))/6*1/3, TRUE, 0)) *
IF(ISNUMBER(SEARCH("Ordinance",$L232)),7/6,1) *
IF(OR(ISNUMBER(SEARCH("Melee",$L232)),ISNUMBER(SEARCH("Bypass",$L232))),1.5,1)</f>
        <v>0</v>
      </c>
      <c r="AD232" s="17" cm="1">
        <f t="array" ref="AD232">$H232 *
IF(ISNUMBER(SEARCH("Rapid",$L232)),7/6,1) *
IF(OR(ISNUMBER(SEARCH("Beam",$L232)),ISNUMBER(SEARCH("Firestorm",$L232))),1, IF(ISNUMBER(SEARCH("Blast",$L232)),(4+$F232+(2-$F232)*0.5)/6*2,(4+$F232)/6)) *
IF(ISNUMBER(SEARCH("Fusion",$L232)), _xlfn.IFS(AD$24-$I232 &lt;=1, 9/10, AD$24-$I232 &lt;=10,(11-(AD$24-$I232))/10, AD$24-$I232 &gt;=11, 0),
_xlfn.IFS(AD$24-$I232 &lt;=1, 5/6, AD$24-$I232 &lt;=5, (7-(AD$24-$I232))/6, AND(AD$24-$I232 =6,NOT(_xlfn.IFNA(ISNUMBER(SEARCH("Rending",$L232)),FALSE))), (7-(AD$24-$I232))/6, AND(AD$24-$I232 &gt;=7,NOT(_xlfn.IFNA(ISNUMBER(SEARCH("Rending",$L232)),FALSE))), 0, AD$24-$I232 =7, (7-(AD$24-1-$I232))/6, AD$24-$I232 =8, (7-(AD$24-2-$I232))/6*2/3, AD$24-$I232 =9, (7-(AD$24-3-$I232))/6*1/3, TRUE, 0)) *
IF(ISNUMBER(SEARCH("Ordinance",$L232)),7/6,1) *
IF(OR(ISNUMBER(SEARCH("Melee",$L232)),ISNUMBER(SEARCH("Bypass",$L232))),1.5,1)</f>
        <v>0</v>
      </c>
      <c r="AE232" s="17" cm="1">
        <f t="array" ref="AE232">$H232 *
IF(ISNUMBER(SEARCH("Rapid",$L232)),7/6,1) *
IF(OR(ISNUMBER(SEARCH("Beam",$L232)),ISNUMBER(SEARCH("Firestorm",$L232))),1, IF(ISNUMBER(SEARCH("Blast",$L232)),(4+$F232+(2-$F232)*0.5)/6*2,(4+$F232)/6)) *
IF(ISNUMBER(SEARCH("Fusion",$L232)), _xlfn.IFS(AE$24-$I232 &lt;=1, 9/10, AE$24-$I232 &lt;=10,(11-(AE$24-$I232))/10, AE$24-$I232 &gt;=11, 0),
_xlfn.IFS(AE$24-$I232 &lt;=1, 5/6, AE$24-$I232 &lt;=5, (7-(AE$24-$I232))/6, AND(AE$24-$I232 =6,NOT(_xlfn.IFNA(ISNUMBER(SEARCH("Rending",$L232)),FALSE))), (7-(AE$24-$I232))/6, AND(AE$24-$I232 &gt;=7,NOT(_xlfn.IFNA(ISNUMBER(SEARCH("Rending",$L232)),FALSE))), 0, AE$24-$I232 =7, (7-(AE$24-1-$I232))/6, AE$24-$I232 =8, (7-(AE$24-2-$I232))/6*2/3, AE$24-$I232 =9, (7-(AE$24-3-$I232))/6*1/3, TRUE, 0)) *
IF(ISNUMBER(SEARCH("Ordinance",$L232)),7/6,1) *
IF(OR(ISNUMBER(SEARCH("Melee",$L232)),ISNUMBER(SEARCH("Bypass",$L232))),1.5,1)</f>
        <v>0</v>
      </c>
      <c r="AF232" s="17" cm="1">
        <f t="array" ref="AF232">$H232 *
IF(ISNUMBER(SEARCH("Rapid",$L232)),7/6,1) *
IF(OR(ISNUMBER(SEARCH("Beam",$L232)),ISNUMBER(SEARCH("Firestorm",$L232))),1, IF(ISNUMBER(SEARCH("Blast",$L232)),(4+$F232+(2-$F232)*0.5)/6*2,(4+$F232)/6)) *
IF(ISNUMBER(SEARCH("Fusion",$L232)), _xlfn.IFS(AF$24-$I232 &lt;=1, 9/10, AF$24-$I232 &lt;=10,(11-(AF$24-$I232))/10, AF$24-$I232 &gt;=11, 0),
_xlfn.IFS(AF$24-$I232 &lt;=1, 5/6, AF$24-$I232 &lt;=5, (7-(AF$24-$I232))/6, AND(AF$24-$I232 =6,NOT(_xlfn.IFNA(ISNUMBER(SEARCH("Rending",$L232)),FALSE))), (7-(AF$24-$I232))/6, AND(AF$24-$I232 &gt;=7,NOT(_xlfn.IFNA(ISNUMBER(SEARCH("Rending",$L232)),FALSE))), 0, AF$24-$I232 =7, (7-(AF$24-1-$I232))/6, AF$24-$I232 =8, (7-(AF$24-2-$I232))/6*2/3, AF$24-$I232 =9, (7-(AF$24-3-$I232))/6*1/3, TRUE, 0)) *
IF(ISNUMBER(SEARCH("Ordinance",$L232)),7/6,1) *
IF(OR(ISNUMBER(SEARCH("Melee",$L232)),ISNUMBER(SEARCH("Bypass",$L232))),1.5,1)</f>
        <v>0</v>
      </c>
      <c r="AG232" s="16">
        <f t="shared" si="67"/>
        <v>0.22222222222222221</v>
      </c>
      <c r="AH232" s="16">
        <f t="shared" si="68"/>
        <v>0.33333333333333331</v>
      </c>
      <c r="AI232" s="17" cm="1">
        <f t="array" ref="AI232">$H232 *
IF(ISNUMBER(SEARCH("Rapid",$L232)),7/6,1) *
IF(OR(ISNUMBER(SEARCH("Beam",$L232)),ISNUMBER(SEARCH("Firestorm",$L232))),1, IF(ISNUMBER(SEARCH("Blast",$L232)),(4+$G232+(2-$G232)*0.5)/6*2,(4+$G232)/6)) *
_xlfn.IFS(AI$24-$I232 &lt;=1, 5/6, AI$24-$I232 &lt;=5, (7-(AI$24-$I232))/6, AND(AI$24-$I232 =6,NOT(_xlfn.IFNA(ISNUMBER(SEARCH("Rending",$L232)),FALSE))), (7-(AI$24-$I232))/6, AND(AI$24-$I232 &gt;=7,NOT(_xlfn.IFNA(ISNUMBER(SEARCH("Rending",$L232)),FALSE))), 0, AI$24-$I232 =7, (7-(AI$24-1-$I232))/6, AI$24-$I232 =8, (7-(AI$24-2-$I232))/6*2/3, AI$24-$I232 =9, (7-(AI$24-3-$I232))/6*1/3, TRUE, 0) *
IF(ISNUMBER(SEARCH("Ordinance",$L232)),7/6,1) *
IF(OR(ISNUMBER(SEARCH("Melee",$L232)),ISNUMBER(SEARCH("Bypass",$L232))),1.5,1)</f>
        <v>0.33333333333333331</v>
      </c>
      <c r="AJ232" s="17" cm="1">
        <f t="array" ref="AJ232">$H232 *
IF(ISNUMBER(SEARCH("Rapid",$L232)),7/6,1) *
IF(OR(ISNUMBER(SEARCH("Beam",$L232)),ISNUMBER(SEARCH("Firestorm",$L232))),1, IF(ISNUMBER(SEARCH("Blast",$L232)),(4+$G232+(2-$G232)*0.5)/6*2,(4+$G232)/6)) *
_xlfn.IFS(AJ$24-$I232 &lt;=1, 5/6, AJ$24-$I232 &lt;=5, (7-(AJ$24-$I232))/6, AND(AJ$24-$I232 =6,NOT(_xlfn.IFNA(ISNUMBER(SEARCH("Rending",$L232)),FALSE))), (7-(AJ$24-$I232))/6, AND(AJ$24-$I232 &gt;=7,NOT(_xlfn.IFNA(ISNUMBER(SEARCH("Rending",$L232)),FALSE))), 0, AJ$24-$I232 =7, (7-(AJ$24-1-$I232))/6, AJ$24-$I232 =8, (7-(AJ$24-2-$I232))/6*2/3, AJ$24-$I232 =9, (7-(AJ$24-3-$I232))/6*1/3, TRUE, 0) *
IF(ISNUMBER(SEARCH("Ordinance",$L232)),7/6,1) *
IF(OR(ISNUMBER(SEARCH("Melee",$L232)),ISNUMBER(SEARCH("Bypass",$L232))),1.5,1)</f>
        <v>0.22222222222222221</v>
      </c>
      <c r="AK232" s="17" cm="1">
        <f t="array" ref="AK232">$H232 *
IF(ISNUMBER(SEARCH("Rapid",$L232)),7/6,1) *
IF(OR(ISNUMBER(SEARCH("Beam",$L232)),ISNUMBER(SEARCH("Firestorm",$L232))),1, IF(ISNUMBER(SEARCH("Blast",$L232)),(4+$G232+(2-$G232)*0.5)/6*2,(4+$G232)/6)) *
_xlfn.IFS(AK$24-$I232 &lt;=1, 5/6, AK$24-$I232 &lt;=5, (7-(AK$24-$I232))/6, AND(AK$24-$I232 =6,NOT(_xlfn.IFNA(ISNUMBER(SEARCH("Rending",$L232)),FALSE))), (7-(AK$24-$I232))/6, AND(AK$24-$I232 &gt;=7,NOT(_xlfn.IFNA(ISNUMBER(SEARCH("Rending",$L232)),FALSE))), 0, AK$24-$I232 =7, (7-(AK$24-1-$I232))/6, AK$24-$I232 =8, (7-(AK$24-2-$I232))/6*2/3, AK$24-$I232 =9, (7-(AK$24-3-$I232))/6*1/3, TRUE, 0) *
IF(ISNUMBER(SEARCH("Ordinance",$L232)),7/6,1) *
IF(OR(ISNUMBER(SEARCH("Melee",$L232)),ISNUMBER(SEARCH("Bypass",$L232))),1.5,1)</f>
        <v>0.1111111111111111</v>
      </c>
      <c r="AL232" s="17" cm="1">
        <f t="array" ref="AL232">$H232 *
IF(ISNUMBER(SEARCH("Rapid",$L232)),7/6,1) *
IF(OR(ISNUMBER(SEARCH("Beam",$L232)),ISNUMBER(SEARCH("Firestorm",$L232))),1, IF(ISNUMBER(SEARCH("Blast",$L232)),(4+$G232+(2-$G232)*0.5)/6*2,(4+$G232)/6)) *
_xlfn.IFS(AL$24-$I232 &lt;=1, 5/6, AL$24-$I232 &lt;=5, (7-(AL$24-$I232))/6, AND(AL$24-$I232 =6,NOT(_xlfn.IFNA(ISNUMBER(SEARCH("Rending",$L232)),FALSE))), (7-(AL$24-$I232))/6, AND(AL$24-$I232 &gt;=7,NOT(_xlfn.IFNA(ISNUMBER(SEARCH("Rending",$L232)),FALSE))), 0, AL$24-$I232 =7, (7-(AL$24-1-$I232))/6, AL$24-$I232 =8, (7-(AL$24-2-$I232))/6*2/3, AL$24-$I232 =9, (7-(AL$24-3-$I232))/6*1/3, TRUE, 0) *
IF(ISNUMBER(SEARCH("Ordinance",$L232)),7/6,1) *
IF(OR(ISNUMBER(SEARCH("Melee",$L232)),ISNUMBER(SEARCH("Bypass",$L232))),1.5,1)</f>
        <v>0</v>
      </c>
      <c r="AM232" s="17" cm="1">
        <f t="array" ref="AM232">$H232 *
IF(ISNUMBER(SEARCH("Rapid",$L232)),7/6,1) *
IF(OR(ISNUMBER(SEARCH("Beam",$L232)),ISNUMBER(SEARCH("Firestorm",$L232))),1, IF(ISNUMBER(SEARCH("Blast",$L232)),(4+$G232+(2-$G232)*0.5)/6*2,(4+$G232)/6)) *
_xlfn.IFS(AM$24-$I232 &lt;=1, 5/6, AM$24-$I232 &lt;=5, (7-(AM$24-$I232))/6, AND(AM$24-$I232 =6,NOT(_xlfn.IFNA(ISNUMBER(SEARCH("Rending",$L232)),FALSE))), (7-(AM$24-$I232))/6, AND(AM$24-$I232 &gt;=7,NOT(_xlfn.IFNA(ISNUMBER(SEARCH("Rending",$L232)),FALSE))), 0, AM$24-$I232 =7, (7-(AM$24-1-$I232))/6, AM$24-$I232 =8, (7-(AM$24-2-$I232))/6*2/3, AM$24-$I232 =9, (7-(AM$24-3-$I232))/6*1/3, TRUE, 0) *
IF(ISNUMBER(SEARCH("Ordinance",$L232)),7/6,1) *
IF(OR(ISNUMBER(SEARCH("Melee",$L232)),ISNUMBER(SEARCH("Bypass",$L232))),1.5,1)</f>
        <v>0</v>
      </c>
      <c r="AN232" s="17" cm="1">
        <f t="array" ref="AN232">$H232 *
IF(ISNUMBER(SEARCH("Rapid",$L232)),7/6,1) *
IF(OR(ISNUMBER(SEARCH("Beam",$L232)),ISNUMBER(SEARCH("Firestorm",$L232))),1, IF(ISNUMBER(SEARCH("Blast",$L232)),(4+$G232+(2-$G232)*0.5)/6*2,(4+$G232)/6)) *
_xlfn.IFS(AN$24-$I232 &lt;=1, 5/6, AN$24-$I232 &lt;=5, (7-(AN$24-$I232))/6, AND(AN$24-$I232 =6,NOT(_xlfn.IFNA(ISNUMBER(SEARCH("Rending",$L232)),FALSE))), (7-(AN$24-$I232))/6, AND(AN$24-$I232 &gt;=7,NOT(_xlfn.IFNA(ISNUMBER(SEARCH("Rending",$L232)),FALSE))), 0, AN$24-$I232 =7, (7-(AN$24-1-$I232))/6, AN$24-$I232 =8, (7-(AN$24-2-$I232))/6*2/3, AN$24-$I232 =9, (7-(AN$24-3-$I232))/6*1/3, TRUE, 0) *
IF(ISNUMBER(SEARCH("Ordinance",$L232)),7/6,1) *
IF(OR(ISNUMBER(SEARCH("Melee",$L232)),ISNUMBER(SEARCH("Bypass",$L232))),1.5,1)</f>
        <v>0</v>
      </c>
      <c r="AO232" s="17" cm="1">
        <f t="array" ref="AO232">$H232 *
IF(ISNUMBER(SEARCH("Rapid",$L232)),7/6,1) *
IF(OR(ISNUMBER(SEARCH("Beam",$L232)),ISNUMBER(SEARCH("Firestorm",$L232))),1, IF(ISNUMBER(SEARCH("Blast",$L232)),(4+$G232+(2-$G232)*0.5)/6*2,(4+$G232)/6)) *
_xlfn.IFS(AO$24-$I232 &lt;=1, 5/6, AO$24-$I232 &lt;=5, (7-(AO$24-$I232))/6, AND(AO$24-$I232 =6,NOT(_xlfn.IFNA(ISNUMBER(SEARCH("Rending",$L232)),FALSE))), (7-(AO$24-$I232))/6, AND(AO$24-$I232 &gt;=7,NOT(_xlfn.IFNA(ISNUMBER(SEARCH("Rending",$L232)),FALSE))), 0, AO$24-$I232 =7, (7-(AO$24-1-$I232))/6, AO$24-$I232 =8, (7-(AO$24-2-$I232))/6*2/3, AO$24-$I232 =9, (7-(AO$24-3-$I232))/6*1/3, TRUE, 0) *
IF(ISNUMBER(SEARCH("Ordinance",$L232)),7/6,1) *
IF(OR(ISNUMBER(SEARCH("Melee",$L232)),ISNUMBER(SEARCH("Bypass",$L232))),1.5,1)</f>
        <v>0</v>
      </c>
      <c r="AP232" s="17" cm="1">
        <f t="array" ref="AP232">$H232 *
IF(ISNUMBER(SEARCH("Rapid",$L232)),7/6,1) *
IF(OR(ISNUMBER(SEARCH("Beam",$L232)),ISNUMBER(SEARCH("Firestorm",$L232))),1, IF(ISNUMBER(SEARCH("Blast",$L232)),(4+$G232+(2-$G232)*0.5)/6*2,(4+$G232)/6)) *
_xlfn.IFS(AP$24-$I232 &lt;=1, 5/6, AP$24-$I232 &lt;=5, (7-(AP$24-$I232))/6, AND(AP$24-$I232 =6,NOT(_xlfn.IFNA(ISNUMBER(SEARCH("Rending",$L232)),FALSE))), (7-(AP$24-$I232))/6, AND(AP$24-$I232 &gt;=7,NOT(_xlfn.IFNA(ISNUMBER(SEARCH("Rending",$L232)),FALSE))), 0, AP$24-$I232 =7, (7-(AP$24-1-$I232))/6, AP$24-$I232 =8, (7-(AP$24-2-$I232))/6*2/3, AP$24-$I232 =9, (7-(AP$24-3-$I232))/6*1/3, TRUE, 0) *
IF(ISNUMBER(SEARCH("Ordinance",$L232)),7/6,1) *
IF(OR(ISNUMBER(SEARCH("Melee",$L232)),ISNUMBER(SEARCH("Bypass",$L232))),1.5,1)</f>
        <v>0</v>
      </c>
      <c r="AQ232" s="17" cm="1">
        <f t="array" ref="AQ232">$H232 *
IF(ISNUMBER(SEARCH("Rapid",$L232)),7/6,1) *
IF(OR(ISNUMBER(SEARCH("Beam",$L232)),ISNUMBER(SEARCH("Firestorm",$L232))),1, IF(ISNUMBER(SEARCH("Blast",$L232)),(4+$G232+(2-$G232)*0.5)/6*2,(4+$G232)/6)) *
_xlfn.IFS(AQ$24-$I232 &lt;=1, 5/6, AQ$24-$I232 &lt;=5, (7-(AQ$24-$I232))/6, AND(AQ$24-$I232 =6,NOT(_xlfn.IFNA(ISNUMBER(SEARCH("Rending",$L232)),FALSE))), (7-(AQ$24-$I232))/6, AND(AQ$24-$I232 &gt;=7,NOT(_xlfn.IFNA(ISNUMBER(SEARCH("Rending",$L232)),FALSE))), 0, AQ$24-$I232 =7, (7-(AQ$24-1-$I232))/6, AQ$24-$I232 =8, (7-(AQ$24-2-$I232))/6*2/3, AQ$24-$I232 =9, (7-(AQ$24-3-$I232))/6*1/3, TRUE, 0) *
IF(ISNUMBER(SEARCH("Ordinance",$L232)),7/6,1) *
IF(OR(ISNUMBER(SEARCH("Melee",$L232)),ISNUMBER(SEARCH("Bypass",$L232))),1.5,1)</f>
        <v>0</v>
      </c>
      <c r="AS232" s="16">
        <f t="shared" si="72"/>
        <v>0.22222222222222221</v>
      </c>
      <c r="AT232" s="16">
        <f t="shared" si="73"/>
        <v>0.33333333333333331</v>
      </c>
      <c r="AU232" s="16">
        <f t="shared" si="74"/>
        <v>0.10555555555555556</v>
      </c>
      <c r="AV232" s="2">
        <v>11</v>
      </c>
    </row>
    <row r="233" spans="1:48" x14ac:dyDescent="0.3">
      <c r="A233" t="s">
        <v>872</v>
      </c>
      <c r="B233" s="3">
        <v>8</v>
      </c>
      <c r="C233" s="3">
        <v>20</v>
      </c>
      <c r="F233" s="10"/>
      <c r="G233" s="10"/>
      <c r="H233" s="3">
        <v>1</v>
      </c>
      <c r="I233" s="8">
        <v>5</v>
      </c>
      <c r="J233" s="3" t="s">
        <v>873</v>
      </c>
      <c r="V233" s="16">
        <f t="shared" si="65"/>
        <v>0.22222222222222221</v>
      </c>
      <c r="W233" s="16">
        <f t="shared" si="66"/>
        <v>0.33333333333333331</v>
      </c>
      <c r="X233" s="17" cm="1">
        <f t="array" ref="X233">$H233 *
IF(ISNUMBER(SEARCH("Rapid",$L233)),7/6,1) *
IF(OR(ISNUMBER(SEARCH("Beam",$L233)),ISNUMBER(SEARCH("Firestorm",$L233))),1, IF(ISNUMBER(SEARCH("Blast",$L233)),(4+$F233+(2-$F233)*0.5)/6*2,(4+$F233)/6)) *
IF(ISNUMBER(SEARCH("Fusion",$L233)), _xlfn.IFS(X$24-$I233 &lt;=1, 9/10, X$24-$I233 &lt;=10,(11-(X$24-$I233))/10, X$24-$I233 &gt;=11, 0),
_xlfn.IFS(X$24-$I233 &lt;=1, 5/6, X$24-$I233 &lt;=5, (7-(X$24-$I233))/6, AND(X$24-$I233 =6,NOT(_xlfn.IFNA(ISNUMBER(SEARCH("Rending",$L233)),FALSE))), (7-(X$24-$I233))/6, AND(X$24-$I233 &gt;=7,NOT(_xlfn.IFNA(ISNUMBER(SEARCH("Rending",$L233)),FALSE))), 0, X$24-$I233 =7, (7-(X$24-1-$I233))/6, X$24-$I233 =8, (7-(X$24-2-$I233))/6*2/3, X$24-$I233 =9, (7-(X$24-3-$I233))/6*1/3, TRUE, 0)) *
IF(ISNUMBER(SEARCH("Ordinance",$L233)),7/6,1) *
IF(OR(ISNUMBER(SEARCH("Melee",$L233)),ISNUMBER(SEARCH("Bypass",$L233))),1.5,1)</f>
        <v>0.33333333333333331</v>
      </c>
      <c r="Y233" s="17" cm="1">
        <f t="array" ref="Y233">$H233 *
IF(ISNUMBER(SEARCH("Rapid",$L233)),7/6,1) *
IF(OR(ISNUMBER(SEARCH("Beam",$L233)),ISNUMBER(SEARCH("Firestorm",$L233))),1, IF(ISNUMBER(SEARCH("Blast",$L233)),(4+$F233+(2-$F233)*0.5)/6*2,(4+$F233)/6)) *
IF(ISNUMBER(SEARCH("Fusion",$L233)), _xlfn.IFS(Y$24-$I233 &lt;=1, 9/10, Y$24-$I233 &lt;=10,(11-(Y$24-$I233))/10, Y$24-$I233 &gt;=11, 0),
_xlfn.IFS(Y$24-$I233 &lt;=1, 5/6, Y$24-$I233 &lt;=5, (7-(Y$24-$I233))/6, AND(Y$24-$I233 =6,NOT(_xlfn.IFNA(ISNUMBER(SEARCH("Rending",$L233)),FALSE))), (7-(Y$24-$I233))/6, AND(Y$24-$I233 &gt;=7,NOT(_xlfn.IFNA(ISNUMBER(SEARCH("Rending",$L233)),FALSE))), 0, Y$24-$I233 =7, (7-(Y$24-1-$I233))/6, Y$24-$I233 =8, (7-(Y$24-2-$I233))/6*2/3, Y$24-$I233 =9, (7-(Y$24-3-$I233))/6*1/3, TRUE, 0)) *
IF(ISNUMBER(SEARCH("Ordinance",$L233)),7/6,1) *
IF(OR(ISNUMBER(SEARCH("Melee",$L233)),ISNUMBER(SEARCH("Bypass",$L233))),1.5,1)</f>
        <v>0.22222222222222221</v>
      </c>
      <c r="Z233" s="17" cm="1">
        <f t="array" ref="Z233">$H233 *
IF(ISNUMBER(SEARCH("Rapid",$L233)),7/6,1) *
IF(OR(ISNUMBER(SEARCH("Beam",$L233)),ISNUMBER(SEARCH("Firestorm",$L233))),1, IF(ISNUMBER(SEARCH("Blast",$L233)),(4+$F233+(2-$F233)*0.5)/6*2,(4+$F233)/6)) *
IF(ISNUMBER(SEARCH("Fusion",$L233)), _xlfn.IFS(Z$24-$I233 &lt;=1, 9/10, Z$24-$I233 &lt;=10,(11-(Z$24-$I233))/10, Z$24-$I233 &gt;=11, 0),
_xlfn.IFS(Z$24-$I233 &lt;=1, 5/6, Z$24-$I233 &lt;=5, (7-(Z$24-$I233))/6, AND(Z$24-$I233 =6,NOT(_xlfn.IFNA(ISNUMBER(SEARCH("Rending",$L233)),FALSE))), (7-(Z$24-$I233))/6, AND(Z$24-$I233 &gt;=7,NOT(_xlfn.IFNA(ISNUMBER(SEARCH("Rending",$L233)),FALSE))), 0, Z$24-$I233 =7, (7-(Z$24-1-$I233))/6, Z$24-$I233 =8, (7-(Z$24-2-$I233))/6*2/3, Z$24-$I233 =9, (7-(Z$24-3-$I233))/6*1/3, TRUE, 0)) *
IF(ISNUMBER(SEARCH("Ordinance",$L233)),7/6,1) *
IF(OR(ISNUMBER(SEARCH("Melee",$L233)),ISNUMBER(SEARCH("Bypass",$L233))),1.5,1)</f>
        <v>0.1111111111111111</v>
      </c>
      <c r="AA233" s="17" cm="1">
        <f t="array" ref="AA233">$H233 *
IF(ISNUMBER(SEARCH("Rapid",$L233)),7/6,1) *
IF(OR(ISNUMBER(SEARCH("Beam",$L233)),ISNUMBER(SEARCH("Firestorm",$L233))),1, IF(ISNUMBER(SEARCH("Blast",$L233)),(4+$F233+(2-$F233)*0.5)/6*2,(4+$F233)/6)) *
IF(ISNUMBER(SEARCH("Fusion",$L233)), _xlfn.IFS(AA$24-$I233 &lt;=1, 9/10, AA$24-$I233 &lt;=10,(11-(AA$24-$I233))/10, AA$24-$I233 &gt;=11, 0),
_xlfn.IFS(AA$24-$I233 &lt;=1, 5/6, AA$24-$I233 &lt;=5, (7-(AA$24-$I233))/6, AND(AA$24-$I233 =6,NOT(_xlfn.IFNA(ISNUMBER(SEARCH("Rending",$L233)),FALSE))), (7-(AA$24-$I233))/6, AND(AA$24-$I233 &gt;=7,NOT(_xlfn.IFNA(ISNUMBER(SEARCH("Rending",$L233)),FALSE))), 0, AA$24-$I233 =7, (7-(AA$24-1-$I233))/6, AA$24-$I233 =8, (7-(AA$24-2-$I233))/6*2/3, AA$24-$I233 =9, (7-(AA$24-3-$I233))/6*1/3, TRUE, 0)) *
IF(ISNUMBER(SEARCH("Ordinance",$L233)),7/6,1) *
IF(OR(ISNUMBER(SEARCH("Melee",$L233)),ISNUMBER(SEARCH("Bypass",$L233))),1.5,1)</f>
        <v>0</v>
      </c>
      <c r="AB233" s="17" cm="1">
        <f t="array" ref="AB233">$H233 *
IF(ISNUMBER(SEARCH("Rapid",$L233)),7/6,1) *
IF(OR(ISNUMBER(SEARCH("Beam",$L233)),ISNUMBER(SEARCH("Firestorm",$L233))),1, IF(ISNUMBER(SEARCH("Blast",$L233)),(4+$F233+(2-$F233)*0.5)/6*2,(4+$F233)/6)) *
IF(ISNUMBER(SEARCH("Fusion",$L233)), _xlfn.IFS(AB$24-$I233 &lt;=1, 9/10, AB$24-$I233 &lt;=10,(11-(AB$24-$I233))/10, AB$24-$I233 &gt;=11, 0),
_xlfn.IFS(AB$24-$I233 &lt;=1, 5/6, AB$24-$I233 &lt;=5, (7-(AB$24-$I233))/6, AND(AB$24-$I233 =6,NOT(_xlfn.IFNA(ISNUMBER(SEARCH("Rending",$L233)),FALSE))), (7-(AB$24-$I233))/6, AND(AB$24-$I233 &gt;=7,NOT(_xlfn.IFNA(ISNUMBER(SEARCH("Rending",$L233)),FALSE))), 0, AB$24-$I233 =7, (7-(AB$24-1-$I233))/6, AB$24-$I233 =8, (7-(AB$24-2-$I233))/6*2/3, AB$24-$I233 =9, (7-(AB$24-3-$I233))/6*1/3, TRUE, 0)) *
IF(ISNUMBER(SEARCH("Ordinance",$L233)),7/6,1) *
IF(OR(ISNUMBER(SEARCH("Melee",$L233)),ISNUMBER(SEARCH("Bypass",$L233))),1.5,1)</f>
        <v>0</v>
      </c>
      <c r="AC233" s="17" cm="1">
        <f t="array" ref="AC233">$H233 *
IF(ISNUMBER(SEARCH("Rapid",$L233)),7/6,1) *
IF(OR(ISNUMBER(SEARCH("Beam",$L233)),ISNUMBER(SEARCH("Firestorm",$L233))),1, IF(ISNUMBER(SEARCH("Blast",$L233)),(4+$F233+(2-$F233)*0.5)/6*2,(4+$F233)/6)) *
IF(ISNUMBER(SEARCH("Fusion",$L233)), _xlfn.IFS(AC$24-$I233 &lt;=1, 9/10, AC$24-$I233 &lt;=10,(11-(AC$24-$I233))/10, AC$24-$I233 &gt;=11, 0),
_xlfn.IFS(AC$24-$I233 &lt;=1, 5/6, AC$24-$I233 &lt;=5, (7-(AC$24-$I233))/6, AND(AC$24-$I233 =6,NOT(_xlfn.IFNA(ISNUMBER(SEARCH("Rending",$L233)),FALSE))), (7-(AC$24-$I233))/6, AND(AC$24-$I233 &gt;=7,NOT(_xlfn.IFNA(ISNUMBER(SEARCH("Rending",$L233)),FALSE))), 0, AC$24-$I233 =7, (7-(AC$24-1-$I233))/6, AC$24-$I233 =8, (7-(AC$24-2-$I233))/6*2/3, AC$24-$I233 =9, (7-(AC$24-3-$I233))/6*1/3, TRUE, 0)) *
IF(ISNUMBER(SEARCH("Ordinance",$L233)),7/6,1) *
IF(OR(ISNUMBER(SEARCH("Melee",$L233)),ISNUMBER(SEARCH("Bypass",$L233))),1.5,1)</f>
        <v>0</v>
      </c>
      <c r="AD233" s="17" cm="1">
        <f t="array" ref="AD233">$H233 *
IF(ISNUMBER(SEARCH("Rapid",$L233)),7/6,1) *
IF(OR(ISNUMBER(SEARCH("Beam",$L233)),ISNUMBER(SEARCH("Firestorm",$L233))),1, IF(ISNUMBER(SEARCH("Blast",$L233)),(4+$F233+(2-$F233)*0.5)/6*2,(4+$F233)/6)) *
IF(ISNUMBER(SEARCH("Fusion",$L233)), _xlfn.IFS(AD$24-$I233 &lt;=1, 9/10, AD$24-$I233 &lt;=10,(11-(AD$24-$I233))/10, AD$24-$I233 &gt;=11, 0),
_xlfn.IFS(AD$24-$I233 &lt;=1, 5/6, AD$24-$I233 &lt;=5, (7-(AD$24-$I233))/6, AND(AD$24-$I233 =6,NOT(_xlfn.IFNA(ISNUMBER(SEARCH("Rending",$L233)),FALSE))), (7-(AD$24-$I233))/6, AND(AD$24-$I233 &gt;=7,NOT(_xlfn.IFNA(ISNUMBER(SEARCH("Rending",$L233)),FALSE))), 0, AD$24-$I233 =7, (7-(AD$24-1-$I233))/6, AD$24-$I233 =8, (7-(AD$24-2-$I233))/6*2/3, AD$24-$I233 =9, (7-(AD$24-3-$I233))/6*1/3, TRUE, 0)) *
IF(ISNUMBER(SEARCH("Ordinance",$L233)),7/6,1) *
IF(OR(ISNUMBER(SEARCH("Melee",$L233)),ISNUMBER(SEARCH("Bypass",$L233))),1.5,1)</f>
        <v>0</v>
      </c>
      <c r="AE233" s="17" cm="1">
        <f t="array" ref="AE233">$H233 *
IF(ISNUMBER(SEARCH("Rapid",$L233)),7/6,1) *
IF(OR(ISNUMBER(SEARCH("Beam",$L233)),ISNUMBER(SEARCH("Firestorm",$L233))),1, IF(ISNUMBER(SEARCH("Blast",$L233)),(4+$F233+(2-$F233)*0.5)/6*2,(4+$F233)/6)) *
IF(ISNUMBER(SEARCH("Fusion",$L233)), _xlfn.IFS(AE$24-$I233 &lt;=1, 9/10, AE$24-$I233 &lt;=10,(11-(AE$24-$I233))/10, AE$24-$I233 &gt;=11, 0),
_xlfn.IFS(AE$24-$I233 &lt;=1, 5/6, AE$24-$I233 &lt;=5, (7-(AE$24-$I233))/6, AND(AE$24-$I233 =6,NOT(_xlfn.IFNA(ISNUMBER(SEARCH("Rending",$L233)),FALSE))), (7-(AE$24-$I233))/6, AND(AE$24-$I233 &gt;=7,NOT(_xlfn.IFNA(ISNUMBER(SEARCH("Rending",$L233)),FALSE))), 0, AE$24-$I233 =7, (7-(AE$24-1-$I233))/6, AE$24-$I233 =8, (7-(AE$24-2-$I233))/6*2/3, AE$24-$I233 =9, (7-(AE$24-3-$I233))/6*1/3, TRUE, 0)) *
IF(ISNUMBER(SEARCH("Ordinance",$L233)),7/6,1) *
IF(OR(ISNUMBER(SEARCH("Melee",$L233)),ISNUMBER(SEARCH("Bypass",$L233))),1.5,1)</f>
        <v>0</v>
      </c>
      <c r="AF233" s="17" cm="1">
        <f t="array" ref="AF233">$H233 *
IF(ISNUMBER(SEARCH("Rapid",$L233)),7/6,1) *
IF(OR(ISNUMBER(SEARCH("Beam",$L233)),ISNUMBER(SEARCH("Firestorm",$L233))),1, IF(ISNUMBER(SEARCH("Blast",$L233)),(4+$F233+(2-$F233)*0.5)/6*2,(4+$F233)/6)) *
IF(ISNUMBER(SEARCH("Fusion",$L233)), _xlfn.IFS(AF$24-$I233 &lt;=1, 9/10, AF$24-$I233 &lt;=10,(11-(AF$24-$I233))/10, AF$24-$I233 &gt;=11, 0),
_xlfn.IFS(AF$24-$I233 &lt;=1, 5/6, AF$24-$I233 &lt;=5, (7-(AF$24-$I233))/6, AND(AF$24-$I233 =6,NOT(_xlfn.IFNA(ISNUMBER(SEARCH("Rending",$L233)),FALSE))), (7-(AF$24-$I233))/6, AND(AF$24-$I233 &gt;=7,NOT(_xlfn.IFNA(ISNUMBER(SEARCH("Rending",$L233)),FALSE))), 0, AF$24-$I233 =7, (7-(AF$24-1-$I233))/6, AF$24-$I233 =8, (7-(AF$24-2-$I233))/6*2/3, AF$24-$I233 =9, (7-(AF$24-3-$I233))/6*1/3, TRUE, 0)) *
IF(ISNUMBER(SEARCH("Ordinance",$L233)),7/6,1) *
IF(OR(ISNUMBER(SEARCH("Melee",$L233)),ISNUMBER(SEARCH("Bypass",$L233))),1.5,1)</f>
        <v>0</v>
      </c>
      <c r="AG233" s="16">
        <f t="shared" si="67"/>
        <v>0.22222222222222221</v>
      </c>
      <c r="AH233" s="16">
        <f t="shared" si="68"/>
        <v>0.33333333333333331</v>
      </c>
      <c r="AI233" s="17" cm="1">
        <f t="array" ref="AI233">$H233 *
IF(ISNUMBER(SEARCH("Rapid",$L233)),7/6,1) *
IF(OR(ISNUMBER(SEARCH("Beam",$L233)),ISNUMBER(SEARCH("Firestorm",$L233))),1, IF(ISNUMBER(SEARCH("Blast",$L233)),(4+$G233+(2-$G233)*0.5)/6*2,(4+$G233)/6)) *
_xlfn.IFS(AI$24-$I233 &lt;=1, 5/6, AI$24-$I233 &lt;=5, (7-(AI$24-$I233))/6, AND(AI$24-$I233 =6,NOT(_xlfn.IFNA(ISNUMBER(SEARCH("Rending",$L233)),FALSE))), (7-(AI$24-$I233))/6, AND(AI$24-$I233 &gt;=7,NOT(_xlfn.IFNA(ISNUMBER(SEARCH("Rending",$L233)),FALSE))), 0, AI$24-$I233 =7, (7-(AI$24-1-$I233))/6, AI$24-$I233 =8, (7-(AI$24-2-$I233))/6*2/3, AI$24-$I233 =9, (7-(AI$24-3-$I233))/6*1/3, TRUE, 0) *
IF(ISNUMBER(SEARCH("Ordinance",$L233)),7/6,1) *
IF(OR(ISNUMBER(SEARCH("Melee",$L233)),ISNUMBER(SEARCH("Bypass",$L233))),1.5,1)</f>
        <v>0.33333333333333331</v>
      </c>
      <c r="AJ233" s="17" cm="1">
        <f t="array" ref="AJ233">$H233 *
IF(ISNUMBER(SEARCH("Rapid",$L233)),7/6,1) *
IF(OR(ISNUMBER(SEARCH("Beam",$L233)),ISNUMBER(SEARCH("Firestorm",$L233))),1, IF(ISNUMBER(SEARCH("Blast",$L233)),(4+$G233+(2-$G233)*0.5)/6*2,(4+$G233)/6)) *
_xlfn.IFS(AJ$24-$I233 &lt;=1, 5/6, AJ$24-$I233 &lt;=5, (7-(AJ$24-$I233))/6, AND(AJ$24-$I233 =6,NOT(_xlfn.IFNA(ISNUMBER(SEARCH("Rending",$L233)),FALSE))), (7-(AJ$24-$I233))/6, AND(AJ$24-$I233 &gt;=7,NOT(_xlfn.IFNA(ISNUMBER(SEARCH("Rending",$L233)),FALSE))), 0, AJ$24-$I233 =7, (7-(AJ$24-1-$I233))/6, AJ$24-$I233 =8, (7-(AJ$24-2-$I233))/6*2/3, AJ$24-$I233 =9, (7-(AJ$24-3-$I233))/6*1/3, TRUE, 0) *
IF(ISNUMBER(SEARCH("Ordinance",$L233)),7/6,1) *
IF(OR(ISNUMBER(SEARCH("Melee",$L233)),ISNUMBER(SEARCH("Bypass",$L233))),1.5,1)</f>
        <v>0.22222222222222221</v>
      </c>
      <c r="AK233" s="17" cm="1">
        <f t="array" ref="AK233">$H233 *
IF(ISNUMBER(SEARCH("Rapid",$L233)),7/6,1) *
IF(OR(ISNUMBER(SEARCH("Beam",$L233)),ISNUMBER(SEARCH("Firestorm",$L233))),1, IF(ISNUMBER(SEARCH("Blast",$L233)),(4+$G233+(2-$G233)*0.5)/6*2,(4+$G233)/6)) *
_xlfn.IFS(AK$24-$I233 &lt;=1, 5/6, AK$24-$I233 &lt;=5, (7-(AK$24-$I233))/6, AND(AK$24-$I233 =6,NOT(_xlfn.IFNA(ISNUMBER(SEARCH("Rending",$L233)),FALSE))), (7-(AK$24-$I233))/6, AND(AK$24-$I233 &gt;=7,NOT(_xlfn.IFNA(ISNUMBER(SEARCH("Rending",$L233)),FALSE))), 0, AK$24-$I233 =7, (7-(AK$24-1-$I233))/6, AK$24-$I233 =8, (7-(AK$24-2-$I233))/6*2/3, AK$24-$I233 =9, (7-(AK$24-3-$I233))/6*1/3, TRUE, 0) *
IF(ISNUMBER(SEARCH("Ordinance",$L233)),7/6,1) *
IF(OR(ISNUMBER(SEARCH("Melee",$L233)),ISNUMBER(SEARCH("Bypass",$L233))),1.5,1)</f>
        <v>0.1111111111111111</v>
      </c>
      <c r="AL233" s="17" cm="1">
        <f t="array" ref="AL233">$H233 *
IF(ISNUMBER(SEARCH("Rapid",$L233)),7/6,1) *
IF(OR(ISNUMBER(SEARCH("Beam",$L233)),ISNUMBER(SEARCH("Firestorm",$L233))),1, IF(ISNUMBER(SEARCH("Blast",$L233)),(4+$G233+(2-$G233)*0.5)/6*2,(4+$G233)/6)) *
_xlfn.IFS(AL$24-$I233 &lt;=1, 5/6, AL$24-$I233 &lt;=5, (7-(AL$24-$I233))/6, AND(AL$24-$I233 =6,NOT(_xlfn.IFNA(ISNUMBER(SEARCH("Rending",$L233)),FALSE))), (7-(AL$24-$I233))/6, AND(AL$24-$I233 &gt;=7,NOT(_xlfn.IFNA(ISNUMBER(SEARCH("Rending",$L233)),FALSE))), 0, AL$24-$I233 =7, (7-(AL$24-1-$I233))/6, AL$24-$I233 =8, (7-(AL$24-2-$I233))/6*2/3, AL$24-$I233 =9, (7-(AL$24-3-$I233))/6*1/3, TRUE, 0) *
IF(ISNUMBER(SEARCH("Ordinance",$L233)),7/6,1) *
IF(OR(ISNUMBER(SEARCH("Melee",$L233)),ISNUMBER(SEARCH("Bypass",$L233))),1.5,1)</f>
        <v>0</v>
      </c>
      <c r="AM233" s="17" cm="1">
        <f t="array" ref="AM233">$H233 *
IF(ISNUMBER(SEARCH("Rapid",$L233)),7/6,1) *
IF(OR(ISNUMBER(SEARCH("Beam",$L233)),ISNUMBER(SEARCH("Firestorm",$L233))),1, IF(ISNUMBER(SEARCH("Blast",$L233)),(4+$G233+(2-$G233)*0.5)/6*2,(4+$G233)/6)) *
_xlfn.IFS(AM$24-$I233 &lt;=1, 5/6, AM$24-$I233 &lt;=5, (7-(AM$24-$I233))/6, AND(AM$24-$I233 =6,NOT(_xlfn.IFNA(ISNUMBER(SEARCH("Rending",$L233)),FALSE))), (7-(AM$24-$I233))/6, AND(AM$24-$I233 &gt;=7,NOT(_xlfn.IFNA(ISNUMBER(SEARCH("Rending",$L233)),FALSE))), 0, AM$24-$I233 =7, (7-(AM$24-1-$I233))/6, AM$24-$I233 =8, (7-(AM$24-2-$I233))/6*2/3, AM$24-$I233 =9, (7-(AM$24-3-$I233))/6*1/3, TRUE, 0) *
IF(ISNUMBER(SEARCH("Ordinance",$L233)),7/6,1) *
IF(OR(ISNUMBER(SEARCH("Melee",$L233)),ISNUMBER(SEARCH("Bypass",$L233))),1.5,1)</f>
        <v>0</v>
      </c>
      <c r="AN233" s="17" cm="1">
        <f t="array" ref="AN233">$H233 *
IF(ISNUMBER(SEARCH("Rapid",$L233)),7/6,1) *
IF(OR(ISNUMBER(SEARCH("Beam",$L233)),ISNUMBER(SEARCH("Firestorm",$L233))),1, IF(ISNUMBER(SEARCH("Blast",$L233)),(4+$G233+(2-$G233)*0.5)/6*2,(4+$G233)/6)) *
_xlfn.IFS(AN$24-$I233 &lt;=1, 5/6, AN$24-$I233 &lt;=5, (7-(AN$24-$I233))/6, AND(AN$24-$I233 =6,NOT(_xlfn.IFNA(ISNUMBER(SEARCH("Rending",$L233)),FALSE))), (7-(AN$24-$I233))/6, AND(AN$24-$I233 &gt;=7,NOT(_xlfn.IFNA(ISNUMBER(SEARCH("Rending",$L233)),FALSE))), 0, AN$24-$I233 =7, (7-(AN$24-1-$I233))/6, AN$24-$I233 =8, (7-(AN$24-2-$I233))/6*2/3, AN$24-$I233 =9, (7-(AN$24-3-$I233))/6*1/3, TRUE, 0) *
IF(ISNUMBER(SEARCH("Ordinance",$L233)),7/6,1) *
IF(OR(ISNUMBER(SEARCH("Melee",$L233)),ISNUMBER(SEARCH("Bypass",$L233))),1.5,1)</f>
        <v>0</v>
      </c>
      <c r="AO233" s="17" cm="1">
        <f t="array" ref="AO233">$H233 *
IF(ISNUMBER(SEARCH("Rapid",$L233)),7/6,1) *
IF(OR(ISNUMBER(SEARCH("Beam",$L233)),ISNUMBER(SEARCH("Firestorm",$L233))),1, IF(ISNUMBER(SEARCH("Blast",$L233)),(4+$G233+(2-$G233)*0.5)/6*2,(4+$G233)/6)) *
_xlfn.IFS(AO$24-$I233 &lt;=1, 5/6, AO$24-$I233 &lt;=5, (7-(AO$24-$I233))/6, AND(AO$24-$I233 =6,NOT(_xlfn.IFNA(ISNUMBER(SEARCH("Rending",$L233)),FALSE))), (7-(AO$24-$I233))/6, AND(AO$24-$I233 &gt;=7,NOT(_xlfn.IFNA(ISNUMBER(SEARCH("Rending",$L233)),FALSE))), 0, AO$24-$I233 =7, (7-(AO$24-1-$I233))/6, AO$24-$I233 =8, (7-(AO$24-2-$I233))/6*2/3, AO$24-$I233 =9, (7-(AO$24-3-$I233))/6*1/3, TRUE, 0) *
IF(ISNUMBER(SEARCH("Ordinance",$L233)),7/6,1) *
IF(OR(ISNUMBER(SEARCH("Melee",$L233)),ISNUMBER(SEARCH("Bypass",$L233))),1.5,1)</f>
        <v>0</v>
      </c>
      <c r="AP233" s="17" cm="1">
        <f t="array" ref="AP233">$H233 *
IF(ISNUMBER(SEARCH("Rapid",$L233)),7/6,1) *
IF(OR(ISNUMBER(SEARCH("Beam",$L233)),ISNUMBER(SEARCH("Firestorm",$L233))),1, IF(ISNUMBER(SEARCH("Blast",$L233)),(4+$G233+(2-$G233)*0.5)/6*2,(4+$G233)/6)) *
_xlfn.IFS(AP$24-$I233 &lt;=1, 5/6, AP$24-$I233 &lt;=5, (7-(AP$24-$I233))/6, AND(AP$24-$I233 =6,NOT(_xlfn.IFNA(ISNUMBER(SEARCH("Rending",$L233)),FALSE))), (7-(AP$24-$I233))/6, AND(AP$24-$I233 &gt;=7,NOT(_xlfn.IFNA(ISNUMBER(SEARCH("Rending",$L233)),FALSE))), 0, AP$24-$I233 =7, (7-(AP$24-1-$I233))/6, AP$24-$I233 =8, (7-(AP$24-2-$I233))/6*2/3, AP$24-$I233 =9, (7-(AP$24-3-$I233))/6*1/3, TRUE, 0) *
IF(ISNUMBER(SEARCH("Ordinance",$L233)),7/6,1) *
IF(OR(ISNUMBER(SEARCH("Melee",$L233)),ISNUMBER(SEARCH("Bypass",$L233))),1.5,1)</f>
        <v>0</v>
      </c>
      <c r="AQ233" s="17" cm="1">
        <f t="array" ref="AQ233">$H233 *
IF(ISNUMBER(SEARCH("Rapid",$L233)),7/6,1) *
IF(OR(ISNUMBER(SEARCH("Beam",$L233)),ISNUMBER(SEARCH("Firestorm",$L233))),1, IF(ISNUMBER(SEARCH("Blast",$L233)),(4+$G233+(2-$G233)*0.5)/6*2,(4+$G233)/6)) *
_xlfn.IFS(AQ$24-$I233 &lt;=1, 5/6, AQ$24-$I233 &lt;=5, (7-(AQ$24-$I233))/6, AND(AQ$24-$I233 =6,NOT(_xlfn.IFNA(ISNUMBER(SEARCH("Rending",$L233)),FALSE))), (7-(AQ$24-$I233))/6, AND(AQ$24-$I233 &gt;=7,NOT(_xlfn.IFNA(ISNUMBER(SEARCH("Rending",$L233)),FALSE))), 0, AQ$24-$I233 =7, (7-(AQ$24-1-$I233))/6, AQ$24-$I233 =8, (7-(AQ$24-2-$I233))/6*2/3, AQ$24-$I233 =9, (7-(AQ$24-3-$I233))/6*1/3, TRUE, 0) *
IF(ISNUMBER(SEARCH("Ordinance",$L233)),7/6,1) *
IF(OR(ISNUMBER(SEARCH("Melee",$L233)),ISNUMBER(SEARCH("Bypass",$L233))),1.5,1)</f>
        <v>0</v>
      </c>
      <c r="AS233" s="16">
        <f t="shared" ref="AS233" si="75">IF($E233=1,AG233*3,IF($E233=2,2*AG233,1.1*AG233))/3</f>
        <v>8.1481481481481488E-2</v>
      </c>
      <c r="AT233" s="16">
        <f t="shared" ref="AT233" si="76">IF($E233=1,AH233*3,IF($E233=2,2*AH233,1.1*AH233))/3</f>
        <v>0.12222222222222223</v>
      </c>
      <c r="AU233" s="16">
        <f t="shared" ref="AU233" si="77">IF(D233+E233=3,
 IF(E233=3, 2.5*AI233,
  IF(E233=2, 1.8*AI233+0.7*X233,
   IF(E233=1, 0.95*AI233+1.55*X233,
    2.5*X233))),
 IF(D233+E233=2,
  IF(E233=2, 1.55*AI233,
   IF(E233 =1, 0.85*AI233+0.7*X233,
    1.55*X233)),
  IF(E233=1, 0.95*AI233,
   0.7*X233))
)/3</f>
        <v>7.7777777777777765E-2</v>
      </c>
      <c r="AV233" s="2">
        <v>12</v>
      </c>
    </row>
    <row r="234" spans="1:48" x14ac:dyDescent="0.3">
      <c r="F234" s="10"/>
      <c r="G234" s="10"/>
      <c r="I234" s="8"/>
      <c r="V234" s="16">
        <f t="shared" si="65"/>
        <v>0</v>
      </c>
      <c r="W234" s="16">
        <f t="shared" si="66"/>
        <v>0</v>
      </c>
      <c r="X234" s="17" cm="1">
        <f t="array" ref="X234">$H234 *
IF(ISNUMBER(SEARCH("Rapid",$L234)),7/6,1) *
IF(OR(ISNUMBER(SEARCH("Beam",$L234)),ISNUMBER(SEARCH("Firestorm",$L234))),1, IF(ISNUMBER(SEARCH("Blast",$L234)),(4+$F234+(2-$F234)*0.5)/6*2,(4+$F234)/6)) *
IF(ISNUMBER(SEARCH("Fusion",$L234)), _xlfn.IFS(X$24-$I234 &lt;=1, 9/10, X$24-$I234 &lt;=10,(11-(X$24-$I234))/10, X$24-$I234 &gt;=11, 0),
_xlfn.IFS(X$24-$I234 &lt;=1, 5/6, X$24-$I234 &lt;=5, (7-(X$24-$I234))/6, AND(X$24-$I234 =6,NOT(_xlfn.IFNA(ISNUMBER(SEARCH("Rending",$L234)),FALSE))), (7-(X$24-$I234))/6, AND(X$24-$I234 &gt;=7,NOT(_xlfn.IFNA(ISNUMBER(SEARCH("Rending",$L234)),FALSE))), 0, X$24-$I234 =7, (7-(X$24-1-$I234))/6, X$24-$I234 =8, (7-(X$24-2-$I234))/6*2/3, X$24-$I234 =9, (7-(X$24-3-$I234))/6*1/3, TRUE, 0)) *
IF(ISNUMBER(SEARCH("Ordinance",$L234)),7/6,1) *
IF(OR(ISNUMBER(SEARCH("Melee",$L234)),ISNUMBER(SEARCH("Bypass",$L234))),1.5,1)</f>
        <v>0</v>
      </c>
      <c r="Y234" s="17" cm="1">
        <f t="array" ref="Y234">$H234 *
IF(ISNUMBER(SEARCH("Rapid",$L234)),7/6,1) *
IF(OR(ISNUMBER(SEARCH("Beam",$L234)),ISNUMBER(SEARCH("Firestorm",$L234))),1, IF(ISNUMBER(SEARCH("Blast",$L234)),(4+$F234+(2-$F234)*0.5)/6*2,(4+$F234)/6)) *
IF(ISNUMBER(SEARCH("Fusion",$L234)), _xlfn.IFS(Y$24-$I234 &lt;=1, 9/10, Y$24-$I234 &lt;=10,(11-(Y$24-$I234))/10, Y$24-$I234 &gt;=11, 0),
_xlfn.IFS(Y$24-$I234 &lt;=1, 5/6, Y$24-$I234 &lt;=5, (7-(Y$24-$I234))/6, AND(Y$24-$I234 =6,NOT(_xlfn.IFNA(ISNUMBER(SEARCH("Rending",$L234)),FALSE))), (7-(Y$24-$I234))/6, AND(Y$24-$I234 &gt;=7,NOT(_xlfn.IFNA(ISNUMBER(SEARCH("Rending",$L234)),FALSE))), 0, Y$24-$I234 =7, (7-(Y$24-1-$I234))/6, Y$24-$I234 =8, (7-(Y$24-2-$I234))/6*2/3, Y$24-$I234 =9, (7-(Y$24-3-$I234))/6*1/3, TRUE, 0)) *
IF(ISNUMBER(SEARCH("Ordinance",$L234)),7/6,1) *
IF(OR(ISNUMBER(SEARCH("Melee",$L234)),ISNUMBER(SEARCH("Bypass",$L234))),1.5,1)</f>
        <v>0</v>
      </c>
      <c r="Z234" s="17" cm="1">
        <f t="array" ref="Z234">$H234 *
IF(ISNUMBER(SEARCH("Rapid",$L234)),7/6,1) *
IF(OR(ISNUMBER(SEARCH("Beam",$L234)),ISNUMBER(SEARCH("Firestorm",$L234))),1, IF(ISNUMBER(SEARCH("Blast",$L234)),(4+$F234+(2-$F234)*0.5)/6*2,(4+$F234)/6)) *
IF(ISNUMBER(SEARCH("Fusion",$L234)), _xlfn.IFS(Z$24-$I234 &lt;=1, 9/10, Z$24-$I234 &lt;=10,(11-(Z$24-$I234))/10, Z$24-$I234 &gt;=11, 0),
_xlfn.IFS(Z$24-$I234 &lt;=1, 5/6, Z$24-$I234 &lt;=5, (7-(Z$24-$I234))/6, AND(Z$24-$I234 =6,NOT(_xlfn.IFNA(ISNUMBER(SEARCH("Rending",$L234)),FALSE))), (7-(Z$24-$I234))/6, AND(Z$24-$I234 &gt;=7,NOT(_xlfn.IFNA(ISNUMBER(SEARCH("Rending",$L234)),FALSE))), 0, Z$24-$I234 =7, (7-(Z$24-1-$I234))/6, Z$24-$I234 =8, (7-(Z$24-2-$I234))/6*2/3, Z$24-$I234 =9, (7-(Z$24-3-$I234))/6*1/3, TRUE, 0)) *
IF(ISNUMBER(SEARCH("Ordinance",$L234)),7/6,1) *
IF(OR(ISNUMBER(SEARCH("Melee",$L234)),ISNUMBER(SEARCH("Bypass",$L234))),1.5,1)</f>
        <v>0</v>
      </c>
      <c r="AA234" s="17" cm="1">
        <f t="array" ref="AA234">$H234 *
IF(ISNUMBER(SEARCH("Rapid",$L234)),7/6,1) *
IF(OR(ISNUMBER(SEARCH("Beam",$L234)),ISNUMBER(SEARCH("Firestorm",$L234))),1, IF(ISNUMBER(SEARCH("Blast",$L234)),(4+$F234+(2-$F234)*0.5)/6*2,(4+$F234)/6)) *
IF(ISNUMBER(SEARCH("Fusion",$L234)), _xlfn.IFS(AA$24-$I234 &lt;=1, 9/10, AA$24-$I234 &lt;=10,(11-(AA$24-$I234))/10, AA$24-$I234 &gt;=11, 0),
_xlfn.IFS(AA$24-$I234 &lt;=1, 5/6, AA$24-$I234 &lt;=5, (7-(AA$24-$I234))/6, AND(AA$24-$I234 =6,NOT(_xlfn.IFNA(ISNUMBER(SEARCH("Rending",$L234)),FALSE))), (7-(AA$24-$I234))/6, AND(AA$24-$I234 &gt;=7,NOT(_xlfn.IFNA(ISNUMBER(SEARCH("Rending",$L234)),FALSE))), 0, AA$24-$I234 =7, (7-(AA$24-1-$I234))/6, AA$24-$I234 =8, (7-(AA$24-2-$I234))/6*2/3, AA$24-$I234 =9, (7-(AA$24-3-$I234))/6*1/3, TRUE, 0)) *
IF(ISNUMBER(SEARCH("Ordinance",$L234)),7/6,1) *
IF(OR(ISNUMBER(SEARCH("Melee",$L234)),ISNUMBER(SEARCH("Bypass",$L234))),1.5,1)</f>
        <v>0</v>
      </c>
      <c r="AB234" s="17" cm="1">
        <f t="array" ref="AB234">$H234 *
IF(ISNUMBER(SEARCH("Rapid",$L234)),7/6,1) *
IF(OR(ISNUMBER(SEARCH("Beam",$L234)),ISNUMBER(SEARCH("Firestorm",$L234))),1, IF(ISNUMBER(SEARCH("Blast",$L234)),(4+$F234+(2-$F234)*0.5)/6*2,(4+$F234)/6)) *
IF(ISNUMBER(SEARCH("Fusion",$L234)), _xlfn.IFS(AB$24-$I234 &lt;=1, 9/10, AB$24-$I234 &lt;=10,(11-(AB$24-$I234))/10, AB$24-$I234 &gt;=11, 0),
_xlfn.IFS(AB$24-$I234 &lt;=1, 5/6, AB$24-$I234 &lt;=5, (7-(AB$24-$I234))/6, AND(AB$24-$I234 =6,NOT(_xlfn.IFNA(ISNUMBER(SEARCH("Rending",$L234)),FALSE))), (7-(AB$24-$I234))/6, AND(AB$24-$I234 &gt;=7,NOT(_xlfn.IFNA(ISNUMBER(SEARCH("Rending",$L234)),FALSE))), 0, AB$24-$I234 =7, (7-(AB$24-1-$I234))/6, AB$24-$I234 =8, (7-(AB$24-2-$I234))/6*2/3, AB$24-$I234 =9, (7-(AB$24-3-$I234))/6*1/3, TRUE, 0)) *
IF(ISNUMBER(SEARCH("Ordinance",$L234)),7/6,1) *
IF(OR(ISNUMBER(SEARCH("Melee",$L234)),ISNUMBER(SEARCH("Bypass",$L234))),1.5,1)</f>
        <v>0</v>
      </c>
      <c r="AC234" s="17" cm="1">
        <f t="array" ref="AC234">$H234 *
IF(ISNUMBER(SEARCH("Rapid",$L234)),7/6,1) *
IF(OR(ISNUMBER(SEARCH("Beam",$L234)),ISNUMBER(SEARCH("Firestorm",$L234))),1, IF(ISNUMBER(SEARCH("Blast",$L234)),(4+$F234+(2-$F234)*0.5)/6*2,(4+$F234)/6)) *
IF(ISNUMBER(SEARCH("Fusion",$L234)), _xlfn.IFS(AC$24-$I234 &lt;=1, 9/10, AC$24-$I234 &lt;=10,(11-(AC$24-$I234))/10, AC$24-$I234 &gt;=11, 0),
_xlfn.IFS(AC$24-$I234 &lt;=1, 5/6, AC$24-$I234 &lt;=5, (7-(AC$24-$I234))/6, AND(AC$24-$I234 =6,NOT(_xlfn.IFNA(ISNUMBER(SEARCH("Rending",$L234)),FALSE))), (7-(AC$24-$I234))/6, AND(AC$24-$I234 &gt;=7,NOT(_xlfn.IFNA(ISNUMBER(SEARCH("Rending",$L234)),FALSE))), 0, AC$24-$I234 =7, (7-(AC$24-1-$I234))/6, AC$24-$I234 =8, (7-(AC$24-2-$I234))/6*2/3, AC$24-$I234 =9, (7-(AC$24-3-$I234))/6*1/3, TRUE, 0)) *
IF(ISNUMBER(SEARCH("Ordinance",$L234)),7/6,1) *
IF(OR(ISNUMBER(SEARCH("Melee",$L234)),ISNUMBER(SEARCH("Bypass",$L234))),1.5,1)</f>
        <v>0</v>
      </c>
      <c r="AD234" s="17" cm="1">
        <f t="array" ref="AD234">$H234 *
IF(ISNUMBER(SEARCH("Rapid",$L234)),7/6,1) *
IF(OR(ISNUMBER(SEARCH("Beam",$L234)),ISNUMBER(SEARCH("Firestorm",$L234))),1, IF(ISNUMBER(SEARCH("Blast",$L234)),(4+$F234+(2-$F234)*0.5)/6*2,(4+$F234)/6)) *
IF(ISNUMBER(SEARCH("Fusion",$L234)), _xlfn.IFS(AD$24-$I234 &lt;=1, 9/10, AD$24-$I234 &lt;=10,(11-(AD$24-$I234))/10, AD$24-$I234 &gt;=11, 0),
_xlfn.IFS(AD$24-$I234 &lt;=1, 5/6, AD$24-$I234 &lt;=5, (7-(AD$24-$I234))/6, AND(AD$24-$I234 =6,NOT(_xlfn.IFNA(ISNUMBER(SEARCH("Rending",$L234)),FALSE))), (7-(AD$24-$I234))/6, AND(AD$24-$I234 &gt;=7,NOT(_xlfn.IFNA(ISNUMBER(SEARCH("Rending",$L234)),FALSE))), 0, AD$24-$I234 =7, (7-(AD$24-1-$I234))/6, AD$24-$I234 =8, (7-(AD$24-2-$I234))/6*2/3, AD$24-$I234 =9, (7-(AD$24-3-$I234))/6*1/3, TRUE, 0)) *
IF(ISNUMBER(SEARCH("Ordinance",$L234)),7/6,1) *
IF(OR(ISNUMBER(SEARCH("Melee",$L234)),ISNUMBER(SEARCH("Bypass",$L234))),1.5,1)</f>
        <v>0</v>
      </c>
      <c r="AE234" s="17" cm="1">
        <f t="array" ref="AE234">$H234 *
IF(ISNUMBER(SEARCH("Rapid",$L234)),7/6,1) *
IF(OR(ISNUMBER(SEARCH("Beam",$L234)),ISNUMBER(SEARCH("Firestorm",$L234))),1, IF(ISNUMBER(SEARCH("Blast",$L234)),(4+$F234+(2-$F234)*0.5)/6*2,(4+$F234)/6)) *
IF(ISNUMBER(SEARCH("Fusion",$L234)), _xlfn.IFS(AE$24-$I234 &lt;=1, 9/10, AE$24-$I234 &lt;=10,(11-(AE$24-$I234))/10, AE$24-$I234 &gt;=11, 0),
_xlfn.IFS(AE$24-$I234 &lt;=1, 5/6, AE$24-$I234 &lt;=5, (7-(AE$24-$I234))/6, AND(AE$24-$I234 =6,NOT(_xlfn.IFNA(ISNUMBER(SEARCH("Rending",$L234)),FALSE))), (7-(AE$24-$I234))/6, AND(AE$24-$I234 &gt;=7,NOT(_xlfn.IFNA(ISNUMBER(SEARCH("Rending",$L234)),FALSE))), 0, AE$24-$I234 =7, (7-(AE$24-1-$I234))/6, AE$24-$I234 =8, (7-(AE$24-2-$I234))/6*2/3, AE$24-$I234 =9, (7-(AE$24-3-$I234))/6*1/3, TRUE, 0)) *
IF(ISNUMBER(SEARCH("Ordinance",$L234)),7/6,1) *
IF(OR(ISNUMBER(SEARCH("Melee",$L234)),ISNUMBER(SEARCH("Bypass",$L234))),1.5,1)</f>
        <v>0</v>
      </c>
      <c r="AF234" s="17" cm="1">
        <f t="array" ref="AF234">$H234 *
IF(ISNUMBER(SEARCH("Rapid",$L234)),7/6,1) *
IF(OR(ISNUMBER(SEARCH("Beam",$L234)),ISNUMBER(SEARCH("Firestorm",$L234))),1, IF(ISNUMBER(SEARCH("Blast",$L234)),(4+$F234+(2-$F234)*0.5)/6*2,(4+$F234)/6)) *
IF(ISNUMBER(SEARCH("Fusion",$L234)), _xlfn.IFS(AF$24-$I234 &lt;=1, 9/10, AF$24-$I234 &lt;=10,(11-(AF$24-$I234))/10, AF$24-$I234 &gt;=11, 0),
_xlfn.IFS(AF$24-$I234 &lt;=1, 5/6, AF$24-$I234 &lt;=5, (7-(AF$24-$I234))/6, AND(AF$24-$I234 =6,NOT(_xlfn.IFNA(ISNUMBER(SEARCH("Rending",$L234)),FALSE))), (7-(AF$24-$I234))/6, AND(AF$24-$I234 &gt;=7,NOT(_xlfn.IFNA(ISNUMBER(SEARCH("Rending",$L234)),FALSE))), 0, AF$24-$I234 =7, (7-(AF$24-1-$I234))/6, AF$24-$I234 =8, (7-(AF$24-2-$I234))/6*2/3, AF$24-$I234 =9, (7-(AF$24-3-$I234))/6*1/3, TRUE, 0)) *
IF(ISNUMBER(SEARCH("Ordinance",$L234)),7/6,1) *
IF(OR(ISNUMBER(SEARCH("Melee",$L234)),ISNUMBER(SEARCH("Bypass",$L234))),1.5,1)</f>
        <v>0</v>
      </c>
      <c r="AG234" s="16">
        <f t="shared" si="67"/>
        <v>0</v>
      </c>
      <c r="AH234" s="16">
        <f t="shared" si="68"/>
        <v>0</v>
      </c>
      <c r="AI234" s="17" cm="1">
        <f t="array" ref="AI234">$H234 *
IF(ISNUMBER(SEARCH("Rapid",$L234)),7/6,1) *
IF(OR(ISNUMBER(SEARCH("Beam",$L234)),ISNUMBER(SEARCH("Firestorm",$L234))),1, IF(ISNUMBER(SEARCH("Blast",$L234)),(4+$G234+(2-$G234)*0.5)/6*2,(4+$G234)/6)) *
_xlfn.IFS(AI$24-$I234 &lt;=1, 5/6, AI$24-$I234 &lt;=5, (7-(AI$24-$I234))/6, AND(AI$24-$I234 =6,NOT(_xlfn.IFNA(ISNUMBER(SEARCH("Rending",$L234)),FALSE))), (7-(AI$24-$I234))/6, AND(AI$24-$I234 &gt;=7,NOT(_xlfn.IFNA(ISNUMBER(SEARCH("Rending",$L234)),FALSE))), 0, AI$24-$I234 =7, (7-(AI$24-1-$I234))/6, AI$24-$I234 =8, (7-(AI$24-2-$I234))/6*2/3, AI$24-$I234 =9, (7-(AI$24-3-$I234))/6*1/3, TRUE, 0) *
IF(ISNUMBER(SEARCH("Ordinance",$L234)),7/6,1) *
IF(OR(ISNUMBER(SEARCH("Melee",$L234)),ISNUMBER(SEARCH("Bypass",$L234))),1.5,1)</f>
        <v>0</v>
      </c>
      <c r="AJ234" s="17" cm="1">
        <f t="array" ref="AJ234">$H234 *
IF(ISNUMBER(SEARCH("Rapid",$L234)),7/6,1) *
IF(OR(ISNUMBER(SEARCH("Beam",$L234)),ISNUMBER(SEARCH("Firestorm",$L234))),1, IF(ISNUMBER(SEARCH("Blast",$L234)),(4+$G234+(2-$G234)*0.5)/6*2,(4+$G234)/6)) *
_xlfn.IFS(AJ$24-$I234 &lt;=1, 5/6, AJ$24-$I234 &lt;=5, (7-(AJ$24-$I234))/6, AND(AJ$24-$I234 =6,NOT(_xlfn.IFNA(ISNUMBER(SEARCH("Rending",$L234)),FALSE))), (7-(AJ$24-$I234))/6, AND(AJ$24-$I234 &gt;=7,NOT(_xlfn.IFNA(ISNUMBER(SEARCH("Rending",$L234)),FALSE))), 0, AJ$24-$I234 =7, (7-(AJ$24-1-$I234))/6, AJ$24-$I234 =8, (7-(AJ$24-2-$I234))/6*2/3, AJ$24-$I234 =9, (7-(AJ$24-3-$I234))/6*1/3, TRUE, 0) *
IF(ISNUMBER(SEARCH("Ordinance",$L234)),7/6,1) *
IF(OR(ISNUMBER(SEARCH("Melee",$L234)),ISNUMBER(SEARCH("Bypass",$L234))),1.5,1)</f>
        <v>0</v>
      </c>
      <c r="AK234" s="17" cm="1">
        <f t="array" ref="AK234">$H234 *
IF(ISNUMBER(SEARCH("Rapid",$L234)),7/6,1) *
IF(OR(ISNUMBER(SEARCH("Beam",$L234)),ISNUMBER(SEARCH("Firestorm",$L234))),1, IF(ISNUMBER(SEARCH("Blast",$L234)),(4+$G234+(2-$G234)*0.5)/6*2,(4+$G234)/6)) *
_xlfn.IFS(AK$24-$I234 &lt;=1, 5/6, AK$24-$I234 &lt;=5, (7-(AK$24-$I234))/6, AND(AK$24-$I234 =6,NOT(_xlfn.IFNA(ISNUMBER(SEARCH("Rending",$L234)),FALSE))), (7-(AK$24-$I234))/6, AND(AK$24-$I234 &gt;=7,NOT(_xlfn.IFNA(ISNUMBER(SEARCH("Rending",$L234)),FALSE))), 0, AK$24-$I234 =7, (7-(AK$24-1-$I234))/6, AK$24-$I234 =8, (7-(AK$24-2-$I234))/6*2/3, AK$24-$I234 =9, (7-(AK$24-3-$I234))/6*1/3, TRUE, 0) *
IF(ISNUMBER(SEARCH("Ordinance",$L234)),7/6,1) *
IF(OR(ISNUMBER(SEARCH("Melee",$L234)),ISNUMBER(SEARCH("Bypass",$L234))),1.5,1)</f>
        <v>0</v>
      </c>
      <c r="AL234" s="17" cm="1">
        <f t="array" ref="AL234">$H234 *
IF(ISNUMBER(SEARCH("Rapid",$L234)),7/6,1) *
IF(OR(ISNUMBER(SEARCH("Beam",$L234)),ISNUMBER(SEARCH("Firestorm",$L234))),1, IF(ISNUMBER(SEARCH("Blast",$L234)),(4+$G234+(2-$G234)*0.5)/6*2,(4+$G234)/6)) *
_xlfn.IFS(AL$24-$I234 &lt;=1, 5/6, AL$24-$I234 &lt;=5, (7-(AL$24-$I234))/6, AND(AL$24-$I234 =6,NOT(_xlfn.IFNA(ISNUMBER(SEARCH("Rending",$L234)),FALSE))), (7-(AL$24-$I234))/6, AND(AL$24-$I234 &gt;=7,NOT(_xlfn.IFNA(ISNUMBER(SEARCH("Rending",$L234)),FALSE))), 0, AL$24-$I234 =7, (7-(AL$24-1-$I234))/6, AL$24-$I234 =8, (7-(AL$24-2-$I234))/6*2/3, AL$24-$I234 =9, (7-(AL$24-3-$I234))/6*1/3, TRUE, 0) *
IF(ISNUMBER(SEARCH("Ordinance",$L234)),7/6,1) *
IF(OR(ISNUMBER(SEARCH("Melee",$L234)),ISNUMBER(SEARCH("Bypass",$L234))),1.5,1)</f>
        <v>0</v>
      </c>
      <c r="AM234" s="17" cm="1">
        <f t="array" ref="AM234">$H234 *
IF(ISNUMBER(SEARCH("Rapid",$L234)),7/6,1) *
IF(OR(ISNUMBER(SEARCH("Beam",$L234)),ISNUMBER(SEARCH("Firestorm",$L234))),1, IF(ISNUMBER(SEARCH("Blast",$L234)),(4+$G234+(2-$G234)*0.5)/6*2,(4+$G234)/6)) *
_xlfn.IFS(AM$24-$I234 &lt;=1, 5/6, AM$24-$I234 &lt;=5, (7-(AM$24-$I234))/6, AND(AM$24-$I234 =6,NOT(_xlfn.IFNA(ISNUMBER(SEARCH("Rending",$L234)),FALSE))), (7-(AM$24-$I234))/6, AND(AM$24-$I234 &gt;=7,NOT(_xlfn.IFNA(ISNUMBER(SEARCH("Rending",$L234)),FALSE))), 0, AM$24-$I234 =7, (7-(AM$24-1-$I234))/6, AM$24-$I234 =8, (7-(AM$24-2-$I234))/6*2/3, AM$24-$I234 =9, (7-(AM$24-3-$I234))/6*1/3, TRUE, 0) *
IF(ISNUMBER(SEARCH("Ordinance",$L234)),7/6,1) *
IF(OR(ISNUMBER(SEARCH("Melee",$L234)),ISNUMBER(SEARCH("Bypass",$L234))),1.5,1)</f>
        <v>0</v>
      </c>
      <c r="AN234" s="17" cm="1">
        <f t="array" ref="AN234">$H234 *
IF(ISNUMBER(SEARCH("Rapid",$L234)),7/6,1) *
IF(OR(ISNUMBER(SEARCH("Beam",$L234)),ISNUMBER(SEARCH("Firestorm",$L234))),1, IF(ISNUMBER(SEARCH("Blast",$L234)),(4+$G234+(2-$G234)*0.5)/6*2,(4+$G234)/6)) *
_xlfn.IFS(AN$24-$I234 &lt;=1, 5/6, AN$24-$I234 &lt;=5, (7-(AN$24-$I234))/6, AND(AN$24-$I234 =6,NOT(_xlfn.IFNA(ISNUMBER(SEARCH("Rending",$L234)),FALSE))), (7-(AN$24-$I234))/6, AND(AN$24-$I234 &gt;=7,NOT(_xlfn.IFNA(ISNUMBER(SEARCH("Rending",$L234)),FALSE))), 0, AN$24-$I234 =7, (7-(AN$24-1-$I234))/6, AN$24-$I234 =8, (7-(AN$24-2-$I234))/6*2/3, AN$24-$I234 =9, (7-(AN$24-3-$I234))/6*1/3, TRUE, 0) *
IF(ISNUMBER(SEARCH("Ordinance",$L234)),7/6,1) *
IF(OR(ISNUMBER(SEARCH("Melee",$L234)),ISNUMBER(SEARCH("Bypass",$L234))),1.5,1)</f>
        <v>0</v>
      </c>
      <c r="AO234" s="17" cm="1">
        <f t="array" ref="AO234">$H234 *
IF(ISNUMBER(SEARCH("Rapid",$L234)),7/6,1) *
IF(OR(ISNUMBER(SEARCH("Beam",$L234)),ISNUMBER(SEARCH("Firestorm",$L234))),1, IF(ISNUMBER(SEARCH("Blast",$L234)),(4+$G234+(2-$G234)*0.5)/6*2,(4+$G234)/6)) *
_xlfn.IFS(AO$24-$I234 &lt;=1, 5/6, AO$24-$I234 &lt;=5, (7-(AO$24-$I234))/6, AND(AO$24-$I234 =6,NOT(_xlfn.IFNA(ISNUMBER(SEARCH("Rending",$L234)),FALSE))), (7-(AO$24-$I234))/6, AND(AO$24-$I234 &gt;=7,NOT(_xlfn.IFNA(ISNUMBER(SEARCH("Rending",$L234)),FALSE))), 0, AO$24-$I234 =7, (7-(AO$24-1-$I234))/6, AO$24-$I234 =8, (7-(AO$24-2-$I234))/6*2/3, AO$24-$I234 =9, (7-(AO$24-3-$I234))/6*1/3, TRUE, 0) *
IF(ISNUMBER(SEARCH("Ordinance",$L234)),7/6,1) *
IF(OR(ISNUMBER(SEARCH("Melee",$L234)),ISNUMBER(SEARCH("Bypass",$L234))),1.5,1)</f>
        <v>0</v>
      </c>
      <c r="AP234" s="17" cm="1">
        <f t="array" ref="AP234">$H234 *
IF(ISNUMBER(SEARCH("Rapid",$L234)),7/6,1) *
IF(OR(ISNUMBER(SEARCH("Beam",$L234)),ISNUMBER(SEARCH("Firestorm",$L234))),1, IF(ISNUMBER(SEARCH("Blast",$L234)),(4+$G234+(2-$G234)*0.5)/6*2,(4+$G234)/6)) *
_xlfn.IFS(AP$24-$I234 &lt;=1, 5/6, AP$24-$I234 &lt;=5, (7-(AP$24-$I234))/6, AND(AP$24-$I234 =6,NOT(_xlfn.IFNA(ISNUMBER(SEARCH("Rending",$L234)),FALSE))), (7-(AP$24-$I234))/6, AND(AP$24-$I234 &gt;=7,NOT(_xlfn.IFNA(ISNUMBER(SEARCH("Rending",$L234)),FALSE))), 0, AP$24-$I234 =7, (7-(AP$24-1-$I234))/6, AP$24-$I234 =8, (7-(AP$24-2-$I234))/6*2/3, AP$24-$I234 =9, (7-(AP$24-3-$I234))/6*1/3, TRUE, 0) *
IF(ISNUMBER(SEARCH("Ordinance",$L234)),7/6,1) *
IF(OR(ISNUMBER(SEARCH("Melee",$L234)),ISNUMBER(SEARCH("Bypass",$L234))),1.5,1)</f>
        <v>0</v>
      </c>
      <c r="AQ234" s="17" cm="1">
        <f t="array" ref="AQ234">$H234 *
IF(ISNUMBER(SEARCH("Rapid",$L234)),7/6,1) *
IF(OR(ISNUMBER(SEARCH("Beam",$L234)),ISNUMBER(SEARCH("Firestorm",$L234))),1, IF(ISNUMBER(SEARCH("Blast",$L234)),(4+$G234+(2-$G234)*0.5)/6*2,(4+$G234)/6)) *
_xlfn.IFS(AQ$24-$I234 &lt;=1, 5/6, AQ$24-$I234 &lt;=5, (7-(AQ$24-$I234))/6, AND(AQ$24-$I234 =6,NOT(_xlfn.IFNA(ISNUMBER(SEARCH("Rending",$L234)),FALSE))), (7-(AQ$24-$I234))/6, AND(AQ$24-$I234 &gt;=7,NOT(_xlfn.IFNA(ISNUMBER(SEARCH("Rending",$L234)),FALSE))), 0, AQ$24-$I234 =7, (7-(AQ$24-1-$I234))/6, AQ$24-$I234 =8, (7-(AQ$24-2-$I234))/6*2/3, AQ$24-$I234 =9, (7-(AQ$24-3-$I234))/6*1/3, TRUE, 0) *
IF(ISNUMBER(SEARCH("Ordinance",$L234)),7/6,1) *
IF(OR(ISNUMBER(SEARCH("Melee",$L234)),ISNUMBER(SEARCH("Bypass",$L234))),1.5,1)</f>
        <v>0</v>
      </c>
      <c r="AS234" s="16">
        <f t="shared" si="72"/>
        <v>0</v>
      </c>
      <c r="AT234" s="16">
        <f t="shared" si="73"/>
        <v>0</v>
      </c>
      <c r="AU234" s="16">
        <f t="shared" si="74"/>
        <v>0</v>
      </c>
      <c r="AV234" s="2">
        <v>11</v>
      </c>
    </row>
    <row r="235" spans="1:48" x14ac:dyDescent="0.3">
      <c r="A235" t="s">
        <v>825</v>
      </c>
      <c r="B235" s="3">
        <v>3</v>
      </c>
      <c r="C235" s="3">
        <v>6</v>
      </c>
      <c r="F235" s="10"/>
      <c r="G235" s="10"/>
      <c r="H235" s="3">
        <v>2</v>
      </c>
      <c r="I235" s="8">
        <v>3</v>
      </c>
      <c r="K235" s="3">
        <v>0</v>
      </c>
      <c r="L235" s="3" t="s">
        <v>480</v>
      </c>
      <c r="V235" s="16">
        <f t="shared" si="65"/>
        <v>0.51851851851851849</v>
      </c>
      <c r="W235" s="16">
        <f t="shared" si="66"/>
        <v>0.77777777777777779</v>
      </c>
      <c r="X235" s="17" cm="1">
        <f t="array" ref="X235">$H235 *
IF(ISNUMBER(SEARCH("Rapid",$L235)),7/6,1) *
IF(OR(ISNUMBER(SEARCH("Beam",$L235)),ISNUMBER(SEARCH("Firestorm",$L235))),1, IF(ISNUMBER(SEARCH("Blast",$L235)),(4+$F235+(2-$F235)*0.5)/6*2,(4+$F235)/6)) *
IF(ISNUMBER(SEARCH("Fusion",$L235)), _xlfn.IFS(X$24-$I235 &lt;=1, 9/10, X$24-$I235 &lt;=10,(11-(X$24-$I235))/10, X$24-$I235 &gt;=11, 0),
_xlfn.IFS(X$24-$I235 &lt;=1, 5/6, X$24-$I235 &lt;=5, (7-(X$24-$I235))/6, AND(X$24-$I235 =6,NOT(_xlfn.IFNA(ISNUMBER(SEARCH("Rending",$L235)),FALSE))), (7-(X$24-$I235))/6, AND(X$24-$I235 &gt;=7,NOT(_xlfn.IFNA(ISNUMBER(SEARCH("Rending",$L235)),FALSE))), 0, X$24-$I235 =7, (7-(X$24-1-$I235))/6, X$24-$I235 =8, (7-(X$24-2-$I235))/6*2/3, X$24-$I235 =9, (7-(X$24-3-$I235))/6*1/3, TRUE, 0)) *
IF(ISNUMBER(SEARCH("Ordinance",$L235)),7/6,1) *
IF(OR(ISNUMBER(SEARCH("Melee",$L235)),ISNUMBER(SEARCH("Bypass",$L235))),1.5,1)</f>
        <v>0.25925925925925924</v>
      </c>
      <c r="Y235" s="17" cm="1">
        <f t="array" ref="Y235">$H235 *
IF(ISNUMBER(SEARCH("Rapid",$L235)),7/6,1) *
IF(OR(ISNUMBER(SEARCH("Beam",$L235)),ISNUMBER(SEARCH("Firestorm",$L235))),1, IF(ISNUMBER(SEARCH("Blast",$L235)),(4+$F235+(2-$F235)*0.5)/6*2,(4+$F235)/6)) *
IF(ISNUMBER(SEARCH("Fusion",$L235)), _xlfn.IFS(Y$24-$I235 &lt;=1, 9/10, Y$24-$I235 &lt;=10,(11-(Y$24-$I235))/10, Y$24-$I235 &gt;=11, 0),
_xlfn.IFS(Y$24-$I235 &lt;=1, 5/6, Y$24-$I235 &lt;=5, (7-(Y$24-$I235))/6, AND(Y$24-$I235 =6,NOT(_xlfn.IFNA(ISNUMBER(SEARCH("Rending",$L235)),FALSE))), (7-(Y$24-$I235))/6, AND(Y$24-$I235 &gt;=7,NOT(_xlfn.IFNA(ISNUMBER(SEARCH("Rending",$L235)),FALSE))), 0, Y$24-$I235 =7, (7-(Y$24-1-$I235))/6, Y$24-$I235 =8, (7-(Y$24-2-$I235))/6*2/3, Y$24-$I235 =9, (7-(Y$24-3-$I235))/6*1/3, TRUE, 0)) *
IF(ISNUMBER(SEARCH("Ordinance",$L235)),7/6,1) *
IF(OR(ISNUMBER(SEARCH("Melee",$L235)),ISNUMBER(SEARCH("Bypass",$L235))),1.5,1)</f>
        <v>0</v>
      </c>
      <c r="Z235" s="17" cm="1">
        <f t="array" ref="Z235">$H235 *
IF(ISNUMBER(SEARCH("Rapid",$L235)),7/6,1) *
IF(OR(ISNUMBER(SEARCH("Beam",$L235)),ISNUMBER(SEARCH("Firestorm",$L235))),1, IF(ISNUMBER(SEARCH("Blast",$L235)),(4+$F235+(2-$F235)*0.5)/6*2,(4+$F235)/6)) *
IF(ISNUMBER(SEARCH("Fusion",$L235)), _xlfn.IFS(Z$24-$I235 &lt;=1, 9/10, Z$24-$I235 &lt;=10,(11-(Z$24-$I235))/10, Z$24-$I235 &gt;=11, 0),
_xlfn.IFS(Z$24-$I235 &lt;=1, 5/6, Z$24-$I235 &lt;=5, (7-(Z$24-$I235))/6, AND(Z$24-$I235 =6,NOT(_xlfn.IFNA(ISNUMBER(SEARCH("Rending",$L235)),FALSE))), (7-(Z$24-$I235))/6, AND(Z$24-$I235 &gt;=7,NOT(_xlfn.IFNA(ISNUMBER(SEARCH("Rending",$L235)),FALSE))), 0, Z$24-$I235 =7, (7-(Z$24-1-$I235))/6, Z$24-$I235 =8, (7-(Z$24-2-$I235))/6*2/3, Z$24-$I235 =9, (7-(Z$24-3-$I235))/6*1/3, TRUE, 0)) *
IF(ISNUMBER(SEARCH("Ordinance",$L235)),7/6,1) *
IF(OR(ISNUMBER(SEARCH("Melee",$L235)),ISNUMBER(SEARCH("Bypass",$L235))),1.5,1)</f>
        <v>0</v>
      </c>
      <c r="AA235" s="17" cm="1">
        <f t="array" ref="AA235">$H235 *
IF(ISNUMBER(SEARCH("Rapid",$L235)),7/6,1) *
IF(OR(ISNUMBER(SEARCH("Beam",$L235)),ISNUMBER(SEARCH("Firestorm",$L235))),1, IF(ISNUMBER(SEARCH("Blast",$L235)),(4+$F235+(2-$F235)*0.5)/6*2,(4+$F235)/6)) *
IF(ISNUMBER(SEARCH("Fusion",$L235)), _xlfn.IFS(AA$24-$I235 &lt;=1, 9/10, AA$24-$I235 &lt;=10,(11-(AA$24-$I235))/10, AA$24-$I235 &gt;=11, 0),
_xlfn.IFS(AA$24-$I235 &lt;=1, 5/6, AA$24-$I235 &lt;=5, (7-(AA$24-$I235))/6, AND(AA$24-$I235 =6,NOT(_xlfn.IFNA(ISNUMBER(SEARCH("Rending",$L235)),FALSE))), (7-(AA$24-$I235))/6, AND(AA$24-$I235 &gt;=7,NOT(_xlfn.IFNA(ISNUMBER(SEARCH("Rending",$L235)),FALSE))), 0, AA$24-$I235 =7, (7-(AA$24-1-$I235))/6, AA$24-$I235 =8, (7-(AA$24-2-$I235))/6*2/3, AA$24-$I235 =9, (7-(AA$24-3-$I235))/6*1/3, TRUE, 0)) *
IF(ISNUMBER(SEARCH("Ordinance",$L235)),7/6,1) *
IF(OR(ISNUMBER(SEARCH("Melee",$L235)),ISNUMBER(SEARCH("Bypass",$L235))),1.5,1)</f>
        <v>0</v>
      </c>
      <c r="AB235" s="17" cm="1">
        <f t="array" ref="AB235">$H235 *
IF(ISNUMBER(SEARCH("Rapid",$L235)),7/6,1) *
IF(OR(ISNUMBER(SEARCH("Beam",$L235)),ISNUMBER(SEARCH("Firestorm",$L235))),1, IF(ISNUMBER(SEARCH("Blast",$L235)),(4+$F235+(2-$F235)*0.5)/6*2,(4+$F235)/6)) *
IF(ISNUMBER(SEARCH("Fusion",$L235)), _xlfn.IFS(AB$24-$I235 &lt;=1, 9/10, AB$24-$I235 &lt;=10,(11-(AB$24-$I235))/10, AB$24-$I235 &gt;=11, 0),
_xlfn.IFS(AB$24-$I235 &lt;=1, 5/6, AB$24-$I235 &lt;=5, (7-(AB$24-$I235))/6, AND(AB$24-$I235 =6,NOT(_xlfn.IFNA(ISNUMBER(SEARCH("Rending",$L235)),FALSE))), (7-(AB$24-$I235))/6, AND(AB$24-$I235 &gt;=7,NOT(_xlfn.IFNA(ISNUMBER(SEARCH("Rending",$L235)),FALSE))), 0, AB$24-$I235 =7, (7-(AB$24-1-$I235))/6, AB$24-$I235 =8, (7-(AB$24-2-$I235))/6*2/3, AB$24-$I235 =9, (7-(AB$24-3-$I235))/6*1/3, TRUE, 0)) *
IF(ISNUMBER(SEARCH("Ordinance",$L235)),7/6,1) *
IF(OR(ISNUMBER(SEARCH("Melee",$L235)),ISNUMBER(SEARCH("Bypass",$L235))),1.5,1)</f>
        <v>0</v>
      </c>
      <c r="AC235" s="17" cm="1">
        <f t="array" ref="AC235">$H235 *
IF(ISNUMBER(SEARCH("Rapid",$L235)),7/6,1) *
IF(OR(ISNUMBER(SEARCH("Beam",$L235)),ISNUMBER(SEARCH("Firestorm",$L235))),1, IF(ISNUMBER(SEARCH("Blast",$L235)),(4+$F235+(2-$F235)*0.5)/6*2,(4+$F235)/6)) *
IF(ISNUMBER(SEARCH("Fusion",$L235)), _xlfn.IFS(AC$24-$I235 &lt;=1, 9/10, AC$24-$I235 &lt;=10,(11-(AC$24-$I235))/10, AC$24-$I235 &gt;=11, 0),
_xlfn.IFS(AC$24-$I235 &lt;=1, 5/6, AC$24-$I235 &lt;=5, (7-(AC$24-$I235))/6, AND(AC$24-$I235 =6,NOT(_xlfn.IFNA(ISNUMBER(SEARCH("Rending",$L235)),FALSE))), (7-(AC$24-$I235))/6, AND(AC$24-$I235 &gt;=7,NOT(_xlfn.IFNA(ISNUMBER(SEARCH("Rending",$L235)),FALSE))), 0, AC$24-$I235 =7, (7-(AC$24-1-$I235))/6, AC$24-$I235 =8, (7-(AC$24-2-$I235))/6*2/3, AC$24-$I235 =9, (7-(AC$24-3-$I235))/6*1/3, TRUE, 0)) *
IF(ISNUMBER(SEARCH("Ordinance",$L235)),7/6,1) *
IF(OR(ISNUMBER(SEARCH("Melee",$L235)),ISNUMBER(SEARCH("Bypass",$L235))),1.5,1)</f>
        <v>0</v>
      </c>
      <c r="AD235" s="17" cm="1">
        <f t="array" ref="AD235">$H235 *
IF(ISNUMBER(SEARCH("Rapid",$L235)),7/6,1) *
IF(OR(ISNUMBER(SEARCH("Beam",$L235)),ISNUMBER(SEARCH("Firestorm",$L235))),1, IF(ISNUMBER(SEARCH("Blast",$L235)),(4+$F235+(2-$F235)*0.5)/6*2,(4+$F235)/6)) *
IF(ISNUMBER(SEARCH("Fusion",$L235)), _xlfn.IFS(AD$24-$I235 &lt;=1, 9/10, AD$24-$I235 &lt;=10,(11-(AD$24-$I235))/10, AD$24-$I235 &gt;=11, 0),
_xlfn.IFS(AD$24-$I235 &lt;=1, 5/6, AD$24-$I235 &lt;=5, (7-(AD$24-$I235))/6, AND(AD$24-$I235 =6,NOT(_xlfn.IFNA(ISNUMBER(SEARCH("Rending",$L235)),FALSE))), (7-(AD$24-$I235))/6, AND(AD$24-$I235 &gt;=7,NOT(_xlfn.IFNA(ISNUMBER(SEARCH("Rending",$L235)),FALSE))), 0, AD$24-$I235 =7, (7-(AD$24-1-$I235))/6, AD$24-$I235 =8, (7-(AD$24-2-$I235))/6*2/3, AD$24-$I235 =9, (7-(AD$24-3-$I235))/6*1/3, TRUE, 0)) *
IF(ISNUMBER(SEARCH("Ordinance",$L235)),7/6,1) *
IF(OR(ISNUMBER(SEARCH("Melee",$L235)),ISNUMBER(SEARCH("Bypass",$L235))),1.5,1)</f>
        <v>0</v>
      </c>
      <c r="AE235" s="17" cm="1">
        <f t="array" ref="AE235">$H235 *
IF(ISNUMBER(SEARCH("Rapid",$L235)),7/6,1) *
IF(OR(ISNUMBER(SEARCH("Beam",$L235)),ISNUMBER(SEARCH("Firestorm",$L235))),1, IF(ISNUMBER(SEARCH("Blast",$L235)),(4+$F235+(2-$F235)*0.5)/6*2,(4+$F235)/6)) *
IF(ISNUMBER(SEARCH("Fusion",$L235)), _xlfn.IFS(AE$24-$I235 &lt;=1, 9/10, AE$24-$I235 &lt;=10,(11-(AE$24-$I235))/10, AE$24-$I235 &gt;=11, 0),
_xlfn.IFS(AE$24-$I235 &lt;=1, 5/6, AE$24-$I235 &lt;=5, (7-(AE$24-$I235))/6, AND(AE$24-$I235 =6,NOT(_xlfn.IFNA(ISNUMBER(SEARCH("Rending",$L235)),FALSE))), (7-(AE$24-$I235))/6, AND(AE$24-$I235 &gt;=7,NOT(_xlfn.IFNA(ISNUMBER(SEARCH("Rending",$L235)),FALSE))), 0, AE$24-$I235 =7, (7-(AE$24-1-$I235))/6, AE$24-$I235 =8, (7-(AE$24-2-$I235))/6*2/3, AE$24-$I235 =9, (7-(AE$24-3-$I235))/6*1/3, TRUE, 0)) *
IF(ISNUMBER(SEARCH("Ordinance",$L235)),7/6,1) *
IF(OR(ISNUMBER(SEARCH("Melee",$L235)),ISNUMBER(SEARCH("Bypass",$L235))),1.5,1)</f>
        <v>0</v>
      </c>
      <c r="AF235" s="17" cm="1">
        <f t="array" ref="AF235">$H235 *
IF(ISNUMBER(SEARCH("Rapid",$L235)),7/6,1) *
IF(OR(ISNUMBER(SEARCH("Beam",$L235)),ISNUMBER(SEARCH("Firestorm",$L235))),1, IF(ISNUMBER(SEARCH("Blast",$L235)),(4+$F235+(2-$F235)*0.5)/6*2,(4+$F235)/6)) *
IF(ISNUMBER(SEARCH("Fusion",$L235)), _xlfn.IFS(AF$24-$I235 &lt;=1, 9/10, AF$24-$I235 &lt;=10,(11-(AF$24-$I235))/10, AF$24-$I235 &gt;=11, 0),
_xlfn.IFS(AF$24-$I235 &lt;=1, 5/6, AF$24-$I235 &lt;=5, (7-(AF$24-$I235))/6, AND(AF$24-$I235 =6,NOT(_xlfn.IFNA(ISNUMBER(SEARCH("Rending",$L235)),FALSE))), (7-(AF$24-$I235))/6, AND(AF$24-$I235 &gt;=7,NOT(_xlfn.IFNA(ISNUMBER(SEARCH("Rending",$L235)),FALSE))), 0, AF$24-$I235 =7, (7-(AF$24-1-$I235))/6, AF$24-$I235 =8, (7-(AF$24-2-$I235))/6*2/3, AF$24-$I235 =9, (7-(AF$24-3-$I235))/6*1/3, TRUE, 0)) *
IF(ISNUMBER(SEARCH("Ordinance",$L235)),7/6,1) *
IF(OR(ISNUMBER(SEARCH("Melee",$L235)),ISNUMBER(SEARCH("Bypass",$L235))),1.5,1)</f>
        <v>0</v>
      </c>
      <c r="AG235" s="16">
        <f t="shared" si="67"/>
        <v>0.51851851851851849</v>
      </c>
      <c r="AH235" s="16">
        <f t="shared" si="68"/>
        <v>0.77777777777777779</v>
      </c>
      <c r="AI235" s="17" cm="1">
        <f t="array" ref="AI235">$H235 *
IF(ISNUMBER(SEARCH("Rapid",$L235)),7/6,1) *
IF(OR(ISNUMBER(SEARCH("Beam",$L235)),ISNUMBER(SEARCH("Firestorm",$L235))),1, IF(ISNUMBER(SEARCH("Blast",$L235)),(4+$G235+(2-$G235)*0.5)/6*2,(4+$G235)/6)) *
_xlfn.IFS(AI$24-$I235 &lt;=1, 5/6, AI$24-$I235 &lt;=5, (7-(AI$24-$I235))/6, AND(AI$24-$I235 =6,NOT(_xlfn.IFNA(ISNUMBER(SEARCH("Rending",$L235)),FALSE))), (7-(AI$24-$I235))/6, AND(AI$24-$I235 &gt;=7,NOT(_xlfn.IFNA(ISNUMBER(SEARCH("Rending",$L235)),FALSE))), 0, AI$24-$I235 =7, (7-(AI$24-1-$I235))/6, AI$24-$I235 =8, (7-(AI$24-2-$I235))/6*2/3, AI$24-$I235 =9, (7-(AI$24-3-$I235))/6*1/3, TRUE, 0) *
IF(ISNUMBER(SEARCH("Ordinance",$L235)),7/6,1) *
IF(OR(ISNUMBER(SEARCH("Melee",$L235)),ISNUMBER(SEARCH("Bypass",$L235))),1.5,1)</f>
        <v>0.25925925925925924</v>
      </c>
      <c r="AJ235" s="17" cm="1">
        <f t="array" ref="AJ235">$H235 *
IF(ISNUMBER(SEARCH("Rapid",$L235)),7/6,1) *
IF(OR(ISNUMBER(SEARCH("Beam",$L235)),ISNUMBER(SEARCH("Firestorm",$L235))),1, IF(ISNUMBER(SEARCH("Blast",$L235)),(4+$G235+(2-$G235)*0.5)/6*2,(4+$G235)/6)) *
_xlfn.IFS(AJ$24-$I235 &lt;=1, 5/6, AJ$24-$I235 &lt;=5, (7-(AJ$24-$I235))/6, AND(AJ$24-$I235 =6,NOT(_xlfn.IFNA(ISNUMBER(SEARCH("Rending",$L235)),FALSE))), (7-(AJ$24-$I235))/6, AND(AJ$24-$I235 &gt;=7,NOT(_xlfn.IFNA(ISNUMBER(SEARCH("Rending",$L235)),FALSE))), 0, AJ$24-$I235 =7, (7-(AJ$24-1-$I235))/6, AJ$24-$I235 =8, (7-(AJ$24-2-$I235))/6*2/3, AJ$24-$I235 =9, (7-(AJ$24-3-$I235))/6*1/3, TRUE, 0) *
IF(ISNUMBER(SEARCH("Ordinance",$L235)),7/6,1) *
IF(OR(ISNUMBER(SEARCH("Melee",$L235)),ISNUMBER(SEARCH("Bypass",$L235))),1.5,1)</f>
        <v>0</v>
      </c>
      <c r="AK235" s="17" cm="1">
        <f t="array" ref="AK235">$H235 *
IF(ISNUMBER(SEARCH("Rapid",$L235)),7/6,1) *
IF(OR(ISNUMBER(SEARCH("Beam",$L235)),ISNUMBER(SEARCH("Firestorm",$L235))),1, IF(ISNUMBER(SEARCH("Blast",$L235)),(4+$G235+(2-$G235)*0.5)/6*2,(4+$G235)/6)) *
_xlfn.IFS(AK$24-$I235 &lt;=1, 5/6, AK$24-$I235 &lt;=5, (7-(AK$24-$I235))/6, AND(AK$24-$I235 =6,NOT(_xlfn.IFNA(ISNUMBER(SEARCH("Rending",$L235)),FALSE))), (7-(AK$24-$I235))/6, AND(AK$24-$I235 &gt;=7,NOT(_xlfn.IFNA(ISNUMBER(SEARCH("Rending",$L235)),FALSE))), 0, AK$24-$I235 =7, (7-(AK$24-1-$I235))/6, AK$24-$I235 =8, (7-(AK$24-2-$I235))/6*2/3, AK$24-$I235 =9, (7-(AK$24-3-$I235))/6*1/3, TRUE, 0) *
IF(ISNUMBER(SEARCH("Ordinance",$L235)),7/6,1) *
IF(OR(ISNUMBER(SEARCH("Melee",$L235)),ISNUMBER(SEARCH("Bypass",$L235))),1.5,1)</f>
        <v>0</v>
      </c>
      <c r="AL235" s="17" cm="1">
        <f t="array" ref="AL235">$H235 *
IF(ISNUMBER(SEARCH("Rapid",$L235)),7/6,1) *
IF(OR(ISNUMBER(SEARCH("Beam",$L235)),ISNUMBER(SEARCH("Firestorm",$L235))),1, IF(ISNUMBER(SEARCH("Blast",$L235)),(4+$G235+(2-$G235)*0.5)/6*2,(4+$G235)/6)) *
_xlfn.IFS(AL$24-$I235 &lt;=1, 5/6, AL$24-$I235 &lt;=5, (7-(AL$24-$I235))/6, AND(AL$24-$I235 =6,NOT(_xlfn.IFNA(ISNUMBER(SEARCH("Rending",$L235)),FALSE))), (7-(AL$24-$I235))/6, AND(AL$24-$I235 &gt;=7,NOT(_xlfn.IFNA(ISNUMBER(SEARCH("Rending",$L235)),FALSE))), 0, AL$24-$I235 =7, (7-(AL$24-1-$I235))/6, AL$24-$I235 =8, (7-(AL$24-2-$I235))/6*2/3, AL$24-$I235 =9, (7-(AL$24-3-$I235))/6*1/3, TRUE, 0) *
IF(ISNUMBER(SEARCH("Ordinance",$L235)),7/6,1) *
IF(OR(ISNUMBER(SEARCH("Melee",$L235)),ISNUMBER(SEARCH("Bypass",$L235))),1.5,1)</f>
        <v>0</v>
      </c>
      <c r="AM235" s="17" cm="1">
        <f t="array" ref="AM235">$H235 *
IF(ISNUMBER(SEARCH("Rapid",$L235)),7/6,1) *
IF(OR(ISNUMBER(SEARCH("Beam",$L235)),ISNUMBER(SEARCH("Firestorm",$L235))),1, IF(ISNUMBER(SEARCH("Blast",$L235)),(4+$G235+(2-$G235)*0.5)/6*2,(4+$G235)/6)) *
_xlfn.IFS(AM$24-$I235 &lt;=1, 5/6, AM$24-$I235 &lt;=5, (7-(AM$24-$I235))/6, AND(AM$24-$I235 =6,NOT(_xlfn.IFNA(ISNUMBER(SEARCH("Rending",$L235)),FALSE))), (7-(AM$24-$I235))/6, AND(AM$24-$I235 &gt;=7,NOT(_xlfn.IFNA(ISNUMBER(SEARCH("Rending",$L235)),FALSE))), 0, AM$24-$I235 =7, (7-(AM$24-1-$I235))/6, AM$24-$I235 =8, (7-(AM$24-2-$I235))/6*2/3, AM$24-$I235 =9, (7-(AM$24-3-$I235))/6*1/3, TRUE, 0) *
IF(ISNUMBER(SEARCH("Ordinance",$L235)),7/6,1) *
IF(OR(ISNUMBER(SEARCH("Melee",$L235)),ISNUMBER(SEARCH("Bypass",$L235))),1.5,1)</f>
        <v>0</v>
      </c>
      <c r="AN235" s="17" cm="1">
        <f t="array" ref="AN235">$H235 *
IF(ISNUMBER(SEARCH("Rapid",$L235)),7/6,1) *
IF(OR(ISNUMBER(SEARCH("Beam",$L235)),ISNUMBER(SEARCH("Firestorm",$L235))),1, IF(ISNUMBER(SEARCH("Blast",$L235)),(4+$G235+(2-$G235)*0.5)/6*2,(4+$G235)/6)) *
_xlfn.IFS(AN$24-$I235 &lt;=1, 5/6, AN$24-$I235 &lt;=5, (7-(AN$24-$I235))/6, AND(AN$24-$I235 =6,NOT(_xlfn.IFNA(ISNUMBER(SEARCH("Rending",$L235)),FALSE))), (7-(AN$24-$I235))/6, AND(AN$24-$I235 &gt;=7,NOT(_xlfn.IFNA(ISNUMBER(SEARCH("Rending",$L235)),FALSE))), 0, AN$24-$I235 =7, (7-(AN$24-1-$I235))/6, AN$24-$I235 =8, (7-(AN$24-2-$I235))/6*2/3, AN$24-$I235 =9, (7-(AN$24-3-$I235))/6*1/3, TRUE, 0) *
IF(ISNUMBER(SEARCH("Ordinance",$L235)),7/6,1) *
IF(OR(ISNUMBER(SEARCH("Melee",$L235)),ISNUMBER(SEARCH("Bypass",$L235))),1.5,1)</f>
        <v>0</v>
      </c>
      <c r="AO235" s="17" cm="1">
        <f t="array" ref="AO235">$H235 *
IF(ISNUMBER(SEARCH("Rapid",$L235)),7/6,1) *
IF(OR(ISNUMBER(SEARCH("Beam",$L235)),ISNUMBER(SEARCH("Firestorm",$L235))),1, IF(ISNUMBER(SEARCH("Blast",$L235)),(4+$G235+(2-$G235)*0.5)/6*2,(4+$G235)/6)) *
_xlfn.IFS(AO$24-$I235 &lt;=1, 5/6, AO$24-$I235 &lt;=5, (7-(AO$24-$I235))/6, AND(AO$24-$I235 =6,NOT(_xlfn.IFNA(ISNUMBER(SEARCH("Rending",$L235)),FALSE))), (7-(AO$24-$I235))/6, AND(AO$24-$I235 &gt;=7,NOT(_xlfn.IFNA(ISNUMBER(SEARCH("Rending",$L235)),FALSE))), 0, AO$24-$I235 =7, (7-(AO$24-1-$I235))/6, AO$24-$I235 =8, (7-(AO$24-2-$I235))/6*2/3, AO$24-$I235 =9, (7-(AO$24-3-$I235))/6*1/3, TRUE, 0) *
IF(ISNUMBER(SEARCH("Ordinance",$L235)),7/6,1) *
IF(OR(ISNUMBER(SEARCH("Melee",$L235)),ISNUMBER(SEARCH("Bypass",$L235))),1.5,1)</f>
        <v>0</v>
      </c>
      <c r="AP235" s="17" cm="1">
        <f t="array" ref="AP235">$H235 *
IF(ISNUMBER(SEARCH("Rapid",$L235)),7/6,1) *
IF(OR(ISNUMBER(SEARCH("Beam",$L235)),ISNUMBER(SEARCH("Firestorm",$L235))),1, IF(ISNUMBER(SEARCH("Blast",$L235)),(4+$G235+(2-$G235)*0.5)/6*2,(4+$G235)/6)) *
_xlfn.IFS(AP$24-$I235 &lt;=1, 5/6, AP$24-$I235 &lt;=5, (7-(AP$24-$I235))/6, AND(AP$24-$I235 =6,NOT(_xlfn.IFNA(ISNUMBER(SEARCH("Rending",$L235)),FALSE))), (7-(AP$24-$I235))/6, AND(AP$24-$I235 &gt;=7,NOT(_xlfn.IFNA(ISNUMBER(SEARCH("Rending",$L235)),FALSE))), 0, AP$24-$I235 =7, (7-(AP$24-1-$I235))/6, AP$24-$I235 =8, (7-(AP$24-2-$I235))/6*2/3, AP$24-$I235 =9, (7-(AP$24-3-$I235))/6*1/3, TRUE, 0) *
IF(ISNUMBER(SEARCH("Ordinance",$L235)),7/6,1) *
IF(OR(ISNUMBER(SEARCH("Melee",$L235)),ISNUMBER(SEARCH("Bypass",$L235))),1.5,1)</f>
        <v>0</v>
      </c>
      <c r="AQ235" s="17" cm="1">
        <f t="array" ref="AQ235">$H235 *
IF(ISNUMBER(SEARCH("Rapid",$L235)),7/6,1) *
IF(OR(ISNUMBER(SEARCH("Beam",$L235)),ISNUMBER(SEARCH("Firestorm",$L235))),1, IF(ISNUMBER(SEARCH("Blast",$L235)),(4+$G235+(2-$G235)*0.5)/6*2,(4+$G235)/6)) *
_xlfn.IFS(AQ$24-$I235 &lt;=1, 5/6, AQ$24-$I235 &lt;=5, (7-(AQ$24-$I235))/6, AND(AQ$24-$I235 =6,NOT(_xlfn.IFNA(ISNUMBER(SEARCH("Rending",$L235)),FALSE))), (7-(AQ$24-$I235))/6, AND(AQ$24-$I235 &gt;=7,NOT(_xlfn.IFNA(ISNUMBER(SEARCH("Rending",$L235)),FALSE))), 0, AQ$24-$I235 =7, (7-(AQ$24-1-$I235))/6, AQ$24-$I235 =8, (7-(AQ$24-2-$I235))/6*2/3, AQ$24-$I235 =9, (7-(AQ$24-3-$I235))/6*1/3, TRUE, 0) *
IF(ISNUMBER(SEARCH("Ordinance",$L235)),7/6,1) *
IF(OR(ISNUMBER(SEARCH("Melee",$L235)),ISNUMBER(SEARCH("Bypass",$L235))),1.5,1)</f>
        <v>0</v>
      </c>
      <c r="AS235" s="16">
        <f t="shared" si="72"/>
        <v>0.19012345679012346</v>
      </c>
      <c r="AT235" s="16">
        <f t="shared" si="73"/>
        <v>0.28518518518518521</v>
      </c>
      <c r="AU235" s="16">
        <f t="shared" si="74"/>
        <v>6.049382716049382E-2</v>
      </c>
      <c r="AV235" s="2">
        <v>11</v>
      </c>
    </row>
    <row r="236" spans="1:48" x14ac:dyDescent="0.3">
      <c r="A236" t="s">
        <v>876</v>
      </c>
      <c r="B236" s="3">
        <v>4</v>
      </c>
      <c r="C236" s="3">
        <v>8</v>
      </c>
      <c r="F236" s="10"/>
      <c r="G236" s="10"/>
      <c r="H236" s="3">
        <v>4</v>
      </c>
      <c r="I236" s="8">
        <v>4</v>
      </c>
      <c r="K236" s="3">
        <v>0</v>
      </c>
      <c r="L236" s="3" t="s">
        <v>480</v>
      </c>
      <c r="V236" s="16">
        <f t="shared" si="65"/>
        <v>1.037037037037037</v>
      </c>
      <c r="W236" s="16">
        <f t="shared" si="66"/>
        <v>1.5555555555555556</v>
      </c>
      <c r="X236" s="17" cm="1">
        <f t="array" ref="X236">$H236 *
IF(ISNUMBER(SEARCH("Rapid",$L236)),7/6,1) *
IF(OR(ISNUMBER(SEARCH("Beam",$L236)),ISNUMBER(SEARCH("Firestorm",$L236))),1, IF(ISNUMBER(SEARCH("Blast",$L236)),(4+$F236+(2-$F236)*0.5)/6*2,(4+$F236)/6)) *
IF(ISNUMBER(SEARCH("Fusion",$L236)), _xlfn.IFS(X$24-$I236 &lt;=1, 9/10, X$24-$I236 &lt;=10,(11-(X$24-$I236))/10, X$24-$I236 &gt;=11, 0),
_xlfn.IFS(X$24-$I236 &lt;=1, 5/6, X$24-$I236 &lt;=5, (7-(X$24-$I236))/6, AND(X$24-$I236 =6,NOT(_xlfn.IFNA(ISNUMBER(SEARCH("Rending",$L236)),FALSE))), (7-(X$24-$I236))/6, AND(X$24-$I236 &gt;=7,NOT(_xlfn.IFNA(ISNUMBER(SEARCH("Rending",$L236)),FALSE))), 0, X$24-$I236 =7, (7-(X$24-1-$I236))/6, X$24-$I236 =8, (7-(X$24-2-$I236))/6*2/3, X$24-$I236 =9, (7-(X$24-3-$I236))/6*1/3, TRUE, 0)) *
IF(ISNUMBER(SEARCH("Ordinance",$L236)),7/6,1) *
IF(OR(ISNUMBER(SEARCH("Melee",$L236)),ISNUMBER(SEARCH("Bypass",$L236))),1.5,1)</f>
        <v>1.037037037037037</v>
      </c>
      <c r="Y236" s="17" cm="1">
        <f t="array" ref="Y236">$H236 *
IF(ISNUMBER(SEARCH("Rapid",$L236)),7/6,1) *
IF(OR(ISNUMBER(SEARCH("Beam",$L236)),ISNUMBER(SEARCH("Firestorm",$L236))),1, IF(ISNUMBER(SEARCH("Blast",$L236)),(4+$F236+(2-$F236)*0.5)/6*2,(4+$F236)/6)) *
IF(ISNUMBER(SEARCH("Fusion",$L236)), _xlfn.IFS(Y$24-$I236 &lt;=1, 9/10, Y$24-$I236 &lt;=10,(11-(Y$24-$I236))/10, Y$24-$I236 &gt;=11, 0),
_xlfn.IFS(Y$24-$I236 &lt;=1, 5/6, Y$24-$I236 &lt;=5, (7-(Y$24-$I236))/6, AND(Y$24-$I236 =6,NOT(_xlfn.IFNA(ISNUMBER(SEARCH("Rending",$L236)),FALSE))), (7-(Y$24-$I236))/6, AND(Y$24-$I236 &gt;=7,NOT(_xlfn.IFNA(ISNUMBER(SEARCH("Rending",$L236)),FALSE))), 0, Y$24-$I236 =7, (7-(Y$24-1-$I236))/6, Y$24-$I236 =8, (7-(Y$24-2-$I236))/6*2/3, Y$24-$I236 =9, (7-(Y$24-3-$I236))/6*1/3, TRUE, 0)) *
IF(ISNUMBER(SEARCH("Ordinance",$L236)),7/6,1) *
IF(OR(ISNUMBER(SEARCH("Melee",$L236)),ISNUMBER(SEARCH("Bypass",$L236))),1.5,1)</f>
        <v>0.51851851851851849</v>
      </c>
      <c r="Z236" s="17" cm="1">
        <f t="array" ref="Z236">$H236 *
IF(ISNUMBER(SEARCH("Rapid",$L236)),7/6,1) *
IF(OR(ISNUMBER(SEARCH("Beam",$L236)),ISNUMBER(SEARCH("Firestorm",$L236))),1, IF(ISNUMBER(SEARCH("Blast",$L236)),(4+$F236+(2-$F236)*0.5)/6*2,(4+$F236)/6)) *
IF(ISNUMBER(SEARCH("Fusion",$L236)), _xlfn.IFS(Z$24-$I236 &lt;=1, 9/10, Z$24-$I236 &lt;=10,(11-(Z$24-$I236))/10, Z$24-$I236 &gt;=11, 0),
_xlfn.IFS(Z$24-$I236 &lt;=1, 5/6, Z$24-$I236 &lt;=5, (7-(Z$24-$I236))/6, AND(Z$24-$I236 =6,NOT(_xlfn.IFNA(ISNUMBER(SEARCH("Rending",$L236)),FALSE))), (7-(Z$24-$I236))/6, AND(Z$24-$I236 &gt;=7,NOT(_xlfn.IFNA(ISNUMBER(SEARCH("Rending",$L236)),FALSE))), 0, Z$24-$I236 =7, (7-(Z$24-1-$I236))/6, Z$24-$I236 =8, (7-(Z$24-2-$I236))/6*2/3, Z$24-$I236 =9, (7-(Z$24-3-$I236))/6*1/3, TRUE, 0)) *
IF(ISNUMBER(SEARCH("Ordinance",$L236)),7/6,1) *
IF(OR(ISNUMBER(SEARCH("Melee",$L236)),ISNUMBER(SEARCH("Bypass",$L236))),1.5,1)</f>
        <v>0</v>
      </c>
      <c r="AA236" s="17" cm="1">
        <f t="array" ref="AA236">$H236 *
IF(ISNUMBER(SEARCH("Rapid",$L236)),7/6,1) *
IF(OR(ISNUMBER(SEARCH("Beam",$L236)),ISNUMBER(SEARCH("Firestorm",$L236))),1, IF(ISNUMBER(SEARCH("Blast",$L236)),(4+$F236+(2-$F236)*0.5)/6*2,(4+$F236)/6)) *
IF(ISNUMBER(SEARCH("Fusion",$L236)), _xlfn.IFS(AA$24-$I236 &lt;=1, 9/10, AA$24-$I236 &lt;=10,(11-(AA$24-$I236))/10, AA$24-$I236 &gt;=11, 0),
_xlfn.IFS(AA$24-$I236 &lt;=1, 5/6, AA$24-$I236 &lt;=5, (7-(AA$24-$I236))/6, AND(AA$24-$I236 =6,NOT(_xlfn.IFNA(ISNUMBER(SEARCH("Rending",$L236)),FALSE))), (7-(AA$24-$I236))/6, AND(AA$24-$I236 &gt;=7,NOT(_xlfn.IFNA(ISNUMBER(SEARCH("Rending",$L236)),FALSE))), 0, AA$24-$I236 =7, (7-(AA$24-1-$I236))/6, AA$24-$I236 =8, (7-(AA$24-2-$I236))/6*2/3, AA$24-$I236 =9, (7-(AA$24-3-$I236))/6*1/3, TRUE, 0)) *
IF(ISNUMBER(SEARCH("Ordinance",$L236)),7/6,1) *
IF(OR(ISNUMBER(SEARCH("Melee",$L236)),ISNUMBER(SEARCH("Bypass",$L236))),1.5,1)</f>
        <v>0</v>
      </c>
      <c r="AB236" s="17" cm="1">
        <f t="array" ref="AB236">$H236 *
IF(ISNUMBER(SEARCH("Rapid",$L236)),7/6,1) *
IF(OR(ISNUMBER(SEARCH("Beam",$L236)),ISNUMBER(SEARCH("Firestorm",$L236))),1, IF(ISNUMBER(SEARCH("Blast",$L236)),(4+$F236+(2-$F236)*0.5)/6*2,(4+$F236)/6)) *
IF(ISNUMBER(SEARCH("Fusion",$L236)), _xlfn.IFS(AB$24-$I236 &lt;=1, 9/10, AB$24-$I236 &lt;=10,(11-(AB$24-$I236))/10, AB$24-$I236 &gt;=11, 0),
_xlfn.IFS(AB$24-$I236 &lt;=1, 5/6, AB$24-$I236 &lt;=5, (7-(AB$24-$I236))/6, AND(AB$24-$I236 =6,NOT(_xlfn.IFNA(ISNUMBER(SEARCH("Rending",$L236)),FALSE))), (7-(AB$24-$I236))/6, AND(AB$24-$I236 &gt;=7,NOT(_xlfn.IFNA(ISNUMBER(SEARCH("Rending",$L236)),FALSE))), 0, AB$24-$I236 =7, (7-(AB$24-1-$I236))/6, AB$24-$I236 =8, (7-(AB$24-2-$I236))/6*2/3, AB$24-$I236 =9, (7-(AB$24-3-$I236))/6*1/3, TRUE, 0)) *
IF(ISNUMBER(SEARCH("Ordinance",$L236)),7/6,1) *
IF(OR(ISNUMBER(SEARCH("Melee",$L236)),ISNUMBER(SEARCH("Bypass",$L236))),1.5,1)</f>
        <v>0</v>
      </c>
      <c r="AC236" s="17" cm="1">
        <f t="array" ref="AC236">$H236 *
IF(ISNUMBER(SEARCH("Rapid",$L236)),7/6,1) *
IF(OR(ISNUMBER(SEARCH("Beam",$L236)),ISNUMBER(SEARCH("Firestorm",$L236))),1, IF(ISNUMBER(SEARCH("Blast",$L236)),(4+$F236+(2-$F236)*0.5)/6*2,(4+$F236)/6)) *
IF(ISNUMBER(SEARCH("Fusion",$L236)), _xlfn.IFS(AC$24-$I236 &lt;=1, 9/10, AC$24-$I236 &lt;=10,(11-(AC$24-$I236))/10, AC$24-$I236 &gt;=11, 0),
_xlfn.IFS(AC$24-$I236 &lt;=1, 5/6, AC$24-$I236 &lt;=5, (7-(AC$24-$I236))/6, AND(AC$24-$I236 =6,NOT(_xlfn.IFNA(ISNUMBER(SEARCH("Rending",$L236)),FALSE))), (7-(AC$24-$I236))/6, AND(AC$24-$I236 &gt;=7,NOT(_xlfn.IFNA(ISNUMBER(SEARCH("Rending",$L236)),FALSE))), 0, AC$24-$I236 =7, (7-(AC$24-1-$I236))/6, AC$24-$I236 =8, (7-(AC$24-2-$I236))/6*2/3, AC$24-$I236 =9, (7-(AC$24-3-$I236))/6*1/3, TRUE, 0)) *
IF(ISNUMBER(SEARCH("Ordinance",$L236)),7/6,1) *
IF(OR(ISNUMBER(SEARCH("Melee",$L236)),ISNUMBER(SEARCH("Bypass",$L236))),1.5,1)</f>
        <v>0</v>
      </c>
      <c r="AD236" s="17" cm="1">
        <f t="array" ref="AD236">$H236 *
IF(ISNUMBER(SEARCH("Rapid",$L236)),7/6,1) *
IF(OR(ISNUMBER(SEARCH("Beam",$L236)),ISNUMBER(SEARCH("Firestorm",$L236))),1, IF(ISNUMBER(SEARCH("Blast",$L236)),(4+$F236+(2-$F236)*0.5)/6*2,(4+$F236)/6)) *
IF(ISNUMBER(SEARCH("Fusion",$L236)), _xlfn.IFS(AD$24-$I236 &lt;=1, 9/10, AD$24-$I236 &lt;=10,(11-(AD$24-$I236))/10, AD$24-$I236 &gt;=11, 0),
_xlfn.IFS(AD$24-$I236 &lt;=1, 5/6, AD$24-$I236 &lt;=5, (7-(AD$24-$I236))/6, AND(AD$24-$I236 =6,NOT(_xlfn.IFNA(ISNUMBER(SEARCH("Rending",$L236)),FALSE))), (7-(AD$24-$I236))/6, AND(AD$24-$I236 &gt;=7,NOT(_xlfn.IFNA(ISNUMBER(SEARCH("Rending",$L236)),FALSE))), 0, AD$24-$I236 =7, (7-(AD$24-1-$I236))/6, AD$24-$I236 =8, (7-(AD$24-2-$I236))/6*2/3, AD$24-$I236 =9, (7-(AD$24-3-$I236))/6*1/3, TRUE, 0)) *
IF(ISNUMBER(SEARCH("Ordinance",$L236)),7/6,1) *
IF(OR(ISNUMBER(SEARCH("Melee",$L236)),ISNUMBER(SEARCH("Bypass",$L236))),1.5,1)</f>
        <v>0</v>
      </c>
      <c r="AE236" s="17" cm="1">
        <f t="array" ref="AE236">$H236 *
IF(ISNUMBER(SEARCH("Rapid",$L236)),7/6,1) *
IF(OR(ISNUMBER(SEARCH("Beam",$L236)),ISNUMBER(SEARCH("Firestorm",$L236))),1, IF(ISNUMBER(SEARCH("Blast",$L236)),(4+$F236+(2-$F236)*0.5)/6*2,(4+$F236)/6)) *
IF(ISNUMBER(SEARCH("Fusion",$L236)), _xlfn.IFS(AE$24-$I236 &lt;=1, 9/10, AE$24-$I236 &lt;=10,(11-(AE$24-$I236))/10, AE$24-$I236 &gt;=11, 0),
_xlfn.IFS(AE$24-$I236 &lt;=1, 5/6, AE$24-$I236 &lt;=5, (7-(AE$24-$I236))/6, AND(AE$24-$I236 =6,NOT(_xlfn.IFNA(ISNUMBER(SEARCH("Rending",$L236)),FALSE))), (7-(AE$24-$I236))/6, AND(AE$24-$I236 &gt;=7,NOT(_xlfn.IFNA(ISNUMBER(SEARCH("Rending",$L236)),FALSE))), 0, AE$24-$I236 =7, (7-(AE$24-1-$I236))/6, AE$24-$I236 =8, (7-(AE$24-2-$I236))/6*2/3, AE$24-$I236 =9, (7-(AE$24-3-$I236))/6*1/3, TRUE, 0)) *
IF(ISNUMBER(SEARCH("Ordinance",$L236)),7/6,1) *
IF(OR(ISNUMBER(SEARCH("Melee",$L236)),ISNUMBER(SEARCH("Bypass",$L236))),1.5,1)</f>
        <v>0</v>
      </c>
      <c r="AF236" s="17" cm="1">
        <f t="array" ref="AF236">$H236 *
IF(ISNUMBER(SEARCH("Rapid",$L236)),7/6,1) *
IF(OR(ISNUMBER(SEARCH("Beam",$L236)),ISNUMBER(SEARCH("Firestorm",$L236))),1, IF(ISNUMBER(SEARCH("Blast",$L236)),(4+$F236+(2-$F236)*0.5)/6*2,(4+$F236)/6)) *
IF(ISNUMBER(SEARCH("Fusion",$L236)), _xlfn.IFS(AF$24-$I236 &lt;=1, 9/10, AF$24-$I236 &lt;=10,(11-(AF$24-$I236))/10, AF$24-$I236 &gt;=11, 0),
_xlfn.IFS(AF$24-$I236 &lt;=1, 5/6, AF$24-$I236 &lt;=5, (7-(AF$24-$I236))/6, AND(AF$24-$I236 =6,NOT(_xlfn.IFNA(ISNUMBER(SEARCH("Rending",$L236)),FALSE))), (7-(AF$24-$I236))/6, AND(AF$24-$I236 &gt;=7,NOT(_xlfn.IFNA(ISNUMBER(SEARCH("Rending",$L236)),FALSE))), 0, AF$24-$I236 =7, (7-(AF$24-1-$I236))/6, AF$24-$I236 =8, (7-(AF$24-2-$I236))/6*2/3, AF$24-$I236 =9, (7-(AF$24-3-$I236))/6*1/3, TRUE, 0)) *
IF(ISNUMBER(SEARCH("Ordinance",$L236)),7/6,1) *
IF(OR(ISNUMBER(SEARCH("Melee",$L236)),ISNUMBER(SEARCH("Bypass",$L236))),1.5,1)</f>
        <v>0</v>
      </c>
      <c r="AG236" s="16">
        <f t="shared" si="67"/>
        <v>1.037037037037037</v>
      </c>
      <c r="AH236" s="16">
        <f t="shared" si="68"/>
        <v>1.5555555555555556</v>
      </c>
      <c r="AI236" s="17" cm="1">
        <f t="array" ref="AI236">$H236 *
IF(ISNUMBER(SEARCH("Rapid",$L236)),7/6,1) *
IF(OR(ISNUMBER(SEARCH("Beam",$L236)),ISNUMBER(SEARCH("Firestorm",$L236))),1, IF(ISNUMBER(SEARCH("Blast",$L236)),(4+$G236+(2-$G236)*0.5)/6*2,(4+$G236)/6)) *
_xlfn.IFS(AI$24-$I236 &lt;=1, 5/6, AI$24-$I236 &lt;=5, (7-(AI$24-$I236))/6, AND(AI$24-$I236 =6,NOT(_xlfn.IFNA(ISNUMBER(SEARCH("Rending",$L236)),FALSE))), (7-(AI$24-$I236))/6, AND(AI$24-$I236 &gt;=7,NOT(_xlfn.IFNA(ISNUMBER(SEARCH("Rending",$L236)),FALSE))), 0, AI$24-$I236 =7, (7-(AI$24-1-$I236))/6, AI$24-$I236 =8, (7-(AI$24-2-$I236))/6*2/3, AI$24-$I236 =9, (7-(AI$24-3-$I236))/6*1/3, TRUE, 0) *
IF(ISNUMBER(SEARCH("Ordinance",$L236)),7/6,1) *
IF(OR(ISNUMBER(SEARCH("Melee",$L236)),ISNUMBER(SEARCH("Bypass",$L236))),1.5,1)</f>
        <v>1.037037037037037</v>
      </c>
      <c r="AJ236" s="17" cm="1">
        <f t="array" ref="AJ236">$H236 *
IF(ISNUMBER(SEARCH("Rapid",$L236)),7/6,1) *
IF(OR(ISNUMBER(SEARCH("Beam",$L236)),ISNUMBER(SEARCH("Firestorm",$L236))),1, IF(ISNUMBER(SEARCH("Blast",$L236)),(4+$G236+(2-$G236)*0.5)/6*2,(4+$G236)/6)) *
_xlfn.IFS(AJ$24-$I236 &lt;=1, 5/6, AJ$24-$I236 &lt;=5, (7-(AJ$24-$I236))/6, AND(AJ$24-$I236 =6,NOT(_xlfn.IFNA(ISNUMBER(SEARCH("Rending",$L236)),FALSE))), (7-(AJ$24-$I236))/6, AND(AJ$24-$I236 &gt;=7,NOT(_xlfn.IFNA(ISNUMBER(SEARCH("Rending",$L236)),FALSE))), 0, AJ$24-$I236 =7, (7-(AJ$24-1-$I236))/6, AJ$24-$I236 =8, (7-(AJ$24-2-$I236))/6*2/3, AJ$24-$I236 =9, (7-(AJ$24-3-$I236))/6*1/3, TRUE, 0) *
IF(ISNUMBER(SEARCH("Ordinance",$L236)),7/6,1) *
IF(OR(ISNUMBER(SEARCH("Melee",$L236)),ISNUMBER(SEARCH("Bypass",$L236))),1.5,1)</f>
        <v>0.51851851851851849</v>
      </c>
      <c r="AK236" s="17" cm="1">
        <f t="array" ref="AK236">$H236 *
IF(ISNUMBER(SEARCH("Rapid",$L236)),7/6,1) *
IF(OR(ISNUMBER(SEARCH("Beam",$L236)),ISNUMBER(SEARCH("Firestorm",$L236))),1, IF(ISNUMBER(SEARCH("Blast",$L236)),(4+$G236+(2-$G236)*0.5)/6*2,(4+$G236)/6)) *
_xlfn.IFS(AK$24-$I236 &lt;=1, 5/6, AK$24-$I236 &lt;=5, (7-(AK$24-$I236))/6, AND(AK$24-$I236 =6,NOT(_xlfn.IFNA(ISNUMBER(SEARCH("Rending",$L236)),FALSE))), (7-(AK$24-$I236))/6, AND(AK$24-$I236 &gt;=7,NOT(_xlfn.IFNA(ISNUMBER(SEARCH("Rending",$L236)),FALSE))), 0, AK$24-$I236 =7, (7-(AK$24-1-$I236))/6, AK$24-$I236 =8, (7-(AK$24-2-$I236))/6*2/3, AK$24-$I236 =9, (7-(AK$24-3-$I236))/6*1/3, TRUE, 0) *
IF(ISNUMBER(SEARCH("Ordinance",$L236)),7/6,1) *
IF(OR(ISNUMBER(SEARCH("Melee",$L236)),ISNUMBER(SEARCH("Bypass",$L236))),1.5,1)</f>
        <v>0</v>
      </c>
      <c r="AL236" s="17" cm="1">
        <f t="array" ref="AL236">$H236 *
IF(ISNUMBER(SEARCH("Rapid",$L236)),7/6,1) *
IF(OR(ISNUMBER(SEARCH("Beam",$L236)),ISNUMBER(SEARCH("Firestorm",$L236))),1, IF(ISNUMBER(SEARCH("Blast",$L236)),(4+$G236+(2-$G236)*0.5)/6*2,(4+$G236)/6)) *
_xlfn.IFS(AL$24-$I236 &lt;=1, 5/6, AL$24-$I236 &lt;=5, (7-(AL$24-$I236))/6, AND(AL$24-$I236 =6,NOT(_xlfn.IFNA(ISNUMBER(SEARCH("Rending",$L236)),FALSE))), (7-(AL$24-$I236))/6, AND(AL$24-$I236 &gt;=7,NOT(_xlfn.IFNA(ISNUMBER(SEARCH("Rending",$L236)),FALSE))), 0, AL$24-$I236 =7, (7-(AL$24-1-$I236))/6, AL$24-$I236 =8, (7-(AL$24-2-$I236))/6*2/3, AL$24-$I236 =9, (7-(AL$24-3-$I236))/6*1/3, TRUE, 0) *
IF(ISNUMBER(SEARCH("Ordinance",$L236)),7/6,1) *
IF(OR(ISNUMBER(SEARCH("Melee",$L236)),ISNUMBER(SEARCH("Bypass",$L236))),1.5,1)</f>
        <v>0</v>
      </c>
      <c r="AM236" s="17" cm="1">
        <f t="array" ref="AM236">$H236 *
IF(ISNUMBER(SEARCH("Rapid",$L236)),7/6,1) *
IF(OR(ISNUMBER(SEARCH("Beam",$L236)),ISNUMBER(SEARCH("Firestorm",$L236))),1, IF(ISNUMBER(SEARCH("Blast",$L236)),(4+$G236+(2-$G236)*0.5)/6*2,(4+$G236)/6)) *
_xlfn.IFS(AM$24-$I236 &lt;=1, 5/6, AM$24-$I236 &lt;=5, (7-(AM$24-$I236))/6, AND(AM$24-$I236 =6,NOT(_xlfn.IFNA(ISNUMBER(SEARCH("Rending",$L236)),FALSE))), (7-(AM$24-$I236))/6, AND(AM$24-$I236 &gt;=7,NOT(_xlfn.IFNA(ISNUMBER(SEARCH("Rending",$L236)),FALSE))), 0, AM$24-$I236 =7, (7-(AM$24-1-$I236))/6, AM$24-$I236 =8, (7-(AM$24-2-$I236))/6*2/3, AM$24-$I236 =9, (7-(AM$24-3-$I236))/6*1/3, TRUE, 0) *
IF(ISNUMBER(SEARCH("Ordinance",$L236)),7/6,1) *
IF(OR(ISNUMBER(SEARCH("Melee",$L236)),ISNUMBER(SEARCH("Bypass",$L236))),1.5,1)</f>
        <v>0</v>
      </c>
      <c r="AN236" s="17" cm="1">
        <f t="array" ref="AN236">$H236 *
IF(ISNUMBER(SEARCH("Rapid",$L236)),7/6,1) *
IF(OR(ISNUMBER(SEARCH("Beam",$L236)),ISNUMBER(SEARCH("Firestorm",$L236))),1, IF(ISNUMBER(SEARCH("Blast",$L236)),(4+$G236+(2-$G236)*0.5)/6*2,(4+$G236)/6)) *
_xlfn.IFS(AN$24-$I236 &lt;=1, 5/6, AN$24-$I236 &lt;=5, (7-(AN$24-$I236))/6, AND(AN$24-$I236 =6,NOT(_xlfn.IFNA(ISNUMBER(SEARCH("Rending",$L236)),FALSE))), (7-(AN$24-$I236))/6, AND(AN$24-$I236 &gt;=7,NOT(_xlfn.IFNA(ISNUMBER(SEARCH("Rending",$L236)),FALSE))), 0, AN$24-$I236 =7, (7-(AN$24-1-$I236))/6, AN$24-$I236 =8, (7-(AN$24-2-$I236))/6*2/3, AN$24-$I236 =9, (7-(AN$24-3-$I236))/6*1/3, TRUE, 0) *
IF(ISNUMBER(SEARCH("Ordinance",$L236)),7/6,1) *
IF(OR(ISNUMBER(SEARCH("Melee",$L236)),ISNUMBER(SEARCH("Bypass",$L236))),1.5,1)</f>
        <v>0</v>
      </c>
      <c r="AO236" s="17" cm="1">
        <f t="array" ref="AO236">$H236 *
IF(ISNUMBER(SEARCH("Rapid",$L236)),7/6,1) *
IF(OR(ISNUMBER(SEARCH("Beam",$L236)),ISNUMBER(SEARCH("Firestorm",$L236))),1, IF(ISNUMBER(SEARCH("Blast",$L236)),(4+$G236+(2-$G236)*0.5)/6*2,(4+$G236)/6)) *
_xlfn.IFS(AO$24-$I236 &lt;=1, 5/6, AO$24-$I236 &lt;=5, (7-(AO$24-$I236))/6, AND(AO$24-$I236 =6,NOT(_xlfn.IFNA(ISNUMBER(SEARCH("Rending",$L236)),FALSE))), (7-(AO$24-$I236))/6, AND(AO$24-$I236 &gt;=7,NOT(_xlfn.IFNA(ISNUMBER(SEARCH("Rending",$L236)),FALSE))), 0, AO$24-$I236 =7, (7-(AO$24-1-$I236))/6, AO$24-$I236 =8, (7-(AO$24-2-$I236))/6*2/3, AO$24-$I236 =9, (7-(AO$24-3-$I236))/6*1/3, TRUE, 0) *
IF(ISNUMBER(SEARCH("Ordinance",$L236)),7/6,1) *
IF(OR(ISNUMBER(SEARCH("Melee",$L236)),ISNUMBER(SEARCH("Bypass",$L236))),1.5,1)</f>
        <v>0</v>
      </c>
      <c r="AP236" s="17" cm="1">
        <f t="array" ref="AP236">$H236 *
IF(ISNUMBER(SEARCH("Rapid",$L236)),7/6,1) *
IF(OR(ISNUMBER(SEARCH("Beam",$L236)),ISNUMBER(SEARCH("Firestorm",$L236))),1, IF(ISNUMBER(SEARCH("Blast",$L236)),(4+$G236+(2-$G236)*0.5)/6*2,(4+$G236)/6)) *
_xlfn.IFS(AP$24-$I236 &lt;=1, 5/6, AP$24-$I236 &lt;=5, (7-(AP$24-$I236))/6, AND(AP$24-$I236 =6,NOT(_xlfn.IFNA(ISNUMBER(SEARCH("Rending",$L236)),FALSE))), (7-(AP$24-$I236))/6, AND(AP$24-$I236 &gt;=7,NOT(_xlfn.IFNA(ISNUMBER(SEARCH("Rending",$L236)),FALSE))), 0, AP$24-$I236 =7, (7-(AP$24-1-$I236))/6, AP$24-$I236 =8, (7-(AP$24-2-$I236))/6*2/3, AP$24-$I236 =9, (7-(AP$24-3-$I236))/6*1/3, TRUE, 0) *
IF(ISNUMBER(SEARCH("Ordinance",$L236)),7/6,1) *
IF(OR(ISNUMBER(SEARCH("Melee",$L236)),ISNUMBER(SEARCH("Bypass",$L236))),1.5,1)</f>
        <v>0</v>
      </c>
      <c r="AQ236" s="17" cm="1">
        <f t="array" ref="AQ236">$H236 *
IF(ISNUMBER(SEARCH("Rapid",$L236)),7/6,1) *
IF(OR(ISNUMBER(SEARCH("Beam",$L236)),ISNUMBER(SEARCH("Firestorm",$L236))),1, IF(ISNUMBER(SEARCH("Blast",$L236)),(4+$G236+(2-$G236)*0.5)/6*2,(4+$G236)/6)) *
_xlfn.IFS(AQ$24-$I236 &lt;=1, 5/6, AQ$24-$I236 &lt;=5, (7-(AQ$24-$I236))/6, AND(AQ$24-$I236 =6,NOT(_xlfn.IFNA(ISNUMBER(SEARCH("Rending",$L236)),FALSE))), (7-(AQ$24-$I236))/6, AND(AQ$24-$I236 &gt;=7,NOT(_xlfn.IFNA(ISNUMBER(SEARCH("Rending",$L236)),FALSE))), 0, AQ$24-$I236 =7, (7-(AQ$24-1-$I236))/6, AQ$24-$I236 =8, (7-(AQ$24-2-$I236))/6*2/3, AQ$24-$I236 =9, (7-(AQ$24-3-$I236))/6*1/3, TRUE, 0) *
IF(ISNUMBER(SEARCH("Ordinance",$L236)),7/6,1) *
IF(OR(ISNUMBER(SEARCH("Melee",$L236)),ISNUMBER(SEARCH("Bypass",$L236))),1.5,1)</f>
        <v>0</v>
      </c>
      <c r="AS236" s="16">
        <f t="shared" si="72"/>
        <v>0.38024691358024693</v>
      </c>
      <c r="AT236" s="16">
        <f t="shared" si="73"/>
        <v>0.57037037037037042</v>
      </c>
      <c r="AU236" s="16">
        <f t="shared" si="74"/>
        <v>0.24197530864197528</v>
      </c>
      <c r="AV236" s="2">
        <v>11</v>
      </c>
    </row>
    <row r="237" spans="1:48" x14ac:dyDescent="0.3">
      <c r="A237" t="s">
        <v>826</v>
      </c>
      <c r="B237" s="3">
        <v>4</v>
      </c>
      <c r="C237" s="3">
        <v>8</v>
      </c>
      <c r="F237" s="10"/>
      <c r="G237" s="10"/>
      <c r="H237" s="3">
        <v>3</v>
      </c>
      <c r="I237" s="8">
        <v>4</v>
      </c>
      <c r="K237" s="3">
        <v>0</v>
      </c>
      <c r="L237" s="3" t="s">
        <v>480</v>
      </c>
      <c r="V237" s="16">
        <f t="shared" si="65"/>
        <v>0.77777777777777768</v>
      </c>
      <c r="W237" s="16">
        <f t="shared" si="66"/>
        <v>1.1666666666666665</v>
      </c>
      <c r="X237" s="17" cm="1">
        <f t="array" ref="X237">$H237 *
IF(ISNUMBER(SEARCH("Rapid",$L237)),7/6,1) *
IF(OR(ISNUMBER(SEARCH("Beam",$L237)),ISNUMBER(SEARCH("Firestorm",$L237))),1, IF(ISNUMBER(SEARCH("Blast",$L237)),(4+$F237+(2-$F237)*0.5)/6*2,(4+$F237)/6)) *
IF(ISNUMBER(SEARCH("Fusion",$L237)), _xlfn.IFS(X$24-$I237 &lt;=1, 9/10, X$24-$I237 &lt;=10,(11-(X$24-$I237))/10, X$24-$I237 &gt;=11, 0),
_xlfn.IFS(X$24-$I237 &lt;=1, 5/6, X$24-$I237 &lt;=5, (7-(X$24-$I237))/6, AND(X$24-$I237 =6,NOT(_xlfn.IFNA(ISNUMBER(SEARCH("Rending",$L237)),FALSE))), (7-(X$24-$I237))/6, AND(X$24-$I237 &gt;=7,NOT(_xlfn.IFNA(ISNUMBER(SEARCH("Rending",$L237)),FALSE))), 0, X$24-$I237 =7, (7-(X$24-1-$I237))/6, X$24-$I237 =8, (7-(X$24-2-$I237))/6*2/3, X$24-$I237 =9, (7-(X$24-3-$I237))/6*1/3, TRUE, 0)) *
IF(ISNUMBER(SEARCH("Ordinance",$L237)),7/6,1) *
IF(OR(ISNUMBER(SEARCH("Melee",$L237)),ISNUMBER(SEARCH("Bypass",$L237))),1.5,1)</f>
        <v>0.77777777777777768</v>
      </c>
      <c r="Y237" s="17" cm="1">
        <f t="array" ref="Y237">$H237 *
IF(ISNUMBER(SEARCH("Rapid",$L237)),7/6,1) *
IF(OR(ISNUMBER(SEARCH("Beam",$L237)),ISNUMBER(SEARCH("Firestorm",$L237))),1, IF(ISNUMBER(SEARCH("Blast",$L237)),(4+$F237+(2-$F237)*0.5)/6*2,(4+$F237)/6)) *
IF(ISNUMBER(SEARCH("Fusion",$L237)), _xlfn.IFS(Y$24-$I237 &lt;=1, 9/10, Y$24-$I237 &lt;=10,(11-(Y$24-$I237))/10, Y$24-$I237 &gt;=11, 0),
_xlfn.IFS(Y$24-$I237 &lt;=1, 5/6, Y$24-$I237 &lt;=5, (7-(Y$24-$I237))/6, AND(Y$24-$I237 =6,NOT(_xlfn.IFNA(ISNUMBER(SEARCH("Rending",$L237)),FALSE))), (7-(Y$24-$I237))/6, AND(Y$24-$I237 &gt;=7,NOT(_xlfn.IFNA(ISNUMBER(SEARCH("Rending",$L237)),FALSE))), 0, Y$24-$I237 =7, (7-(Y$24-1-$I237))/6, Y$24-$I237 =8, (7-(Y$24-2-$I237))/6*2/3, Y$24-$I237 =9, (7-(Y$24-3-$I237))/6*1/3, TRUE, 0)) *
IF(ISNUMBER(SEARCH("Ordinance",$L237)),7/6,1) *
IF(OR(ISNUMBER(SEARCH("Melee",$L237)),ISNUMBER(SEARCH("Bypass",$L237))),1.5,1)</f>
        <v>0.38888888888888884</v>
      </c>
      <c r="Z237" s="17" cm="1">
        <f t="array" ref="Z237">$H237 *
IF(ISNUMBER(SEARCH("Rapid",$L237)),7/6,1) *
IF(OR(ISNUMBER(SEARCH("Beam",$L237)),ISNUMBER(SEARCH("Firestorm",$L237))),1, IF(ISNUMBER(SEARCH("Blast",$L237)),(4+$F237+(2-$F237)*0.5)/6*2,(4+$F237)/6)) *
IF(ISNUMBER(SEARCH("Fusion",$L237)), _xlfn.IFS(Z$24-$I237 &lt;=1, 9/10, Z$24-$I237 &lt;=10,(11-(Z$24-$I237))/10, Z$24-$I237 &gt;=11, 0),
_xlfn.IFS(Z$24-$I237 &lt;=1, 5/6, Z$24-$I237 &lt;=5, (7-(Z$24-$I237))/6, AND(Z$24-$I237 =6,NOT(_xlfn.IFNA(ISNUMBER(SEARCH("Rending",$L237)),FALSE))), (7-(Z$24-$I237))/6, AND(Z$24-$I237 &gt;=7,NOT(_xlfn.IFNA(ISNUMBER(SEARCH("Rending",$L237)),FALSE))), 0, Z$24-$I237 =7, (7-(Z$24-1-$I237))/6, Z$24-$I237 =8, (7-(Z$24-2-$I237))/6*2/3, Z$24-$I237 =9, (7-(Z$24-3-$I237))/6*1/3, TRUE, 0)) *
IF(ISNUMBER(SEARCH("Ordinance",$L237)),7/6,1) *
IF(OR(ISNUMBER(SEARCH("Melee",$L237)),ISNUMBER(SEARCH("Bypass",$L237))),1.5,1)</f>
        <v>0</v>
      </c>
      <c r="AA237" s="17" cm="1">
        <f t="array" ref="AA237">$H237 *
IF(ISNUMBER(SEARCH("Rapid",$L237)),7/6,1) *
IF(OR(ISNUMBER(SEARCH("Beam",$L237)),ISNUMBER(SEARCH("Firestorm",$L237))),1, IF(ISNUMBER(SEARCH("Blast",$L237)),(4+$F237+(2-$F237)*0.5)/6*2,(4+$F237)/6)) *
IF(ISNUMBER(SEARCH("Fusion",$L237)), _xlfn.IFS(AA$24-$I237 &lt;=1, 9/10, AA$24-$I237 &lt;=10,(11-(AA$24-$I237))/10, AA$24-$I237 &gt;=11, 0),
_xlfn.IFS(AA$24-$I237 &lt;=1, 5/6, AA$24-$I237 &lt;=5, (7-(AA$24-$I237))/6, AND(AA$24-$I237 =6,NOT(_xlfn.IFNA(ISNUMBER(SEARCH("Rending",$L237)),FALSE))), (7-(AA$24-$I237))/6, AND(AA$24-$I237 &gt;=7,NOT(_xlfn.IFNA(ISNUMBER(SEARCH("Rending",$L237)),FALSE))), 0, AA$24-$I237 =7, (7-(AA$24-1-$I237))/6, AA$24-$I237 =8, (7-(AA$24-2-$I237))/6*2/3, AA$24-$I237 =9, (7-(AA$24-3-$I237))/6*1/3, TRUE, 0)) *
IF(ISNUMBER(SEARCH("Ordinance",$L237)),7/6,1) *
IF(OR(ISNUMBER(SEARCH("Melee",$L237)),ISNUMBER(SEARCH("Bypass",$L237))),1.5,1)</f>
        <v>0</v>
      </c>
      <c r="AB237" s="17" cm="1">
        <f t="array" ref="AB237">$H237 *
IF(ISNUMBER(SEARCH("Rapid",$L237)),7/6,1) *
IF(OR(ISNUMBER(SEARCH("Beam",$L237)),ISNUMBER(SEARCH("Firestorm",$L237))),1, IF(ISNUMBER(SEARCH("Blast",$L237)),(4+$F237+(2-$F237)*0.5)/6*2,(4+$F237)/6)) *
IF(ISNUMBER(SEARCH("Fusion",$L237)), _xlfn.IFS(AB$24-$I237 &lt;=1, 9/10, AB$24-$I237 &lt;=10,(11-(AB$24-$I237))/10, AB$24-$I237 &gt;=11, 0),
_xlfn.IFS(AB$24-$I237 &lt;=1, 5/6, AB$24-$I237 &lt;=5, (7-(AB$24-$I237))/6, AND(AB$24-$I237 =6,NOT(_xlfn.IFNA(ISNUMBER(SEARCH("Rending",$L237)),FALSE))), (7-(AB$24-$I237))/6, AND(AB$24-$I237 &gt;=7,NOT(_xlfn.IFNA(ISNUMBER(SEARCH("Rending",$L237)),FALSE))), 0, AB$24-$I237 =7, (7-(AB$24-1-$I237))/6, AB$24-$I237 =8, (7-(AB$24-2-$I237))/6*2/3, AB$24-$I237 =9, (7-(AB$24-3-$I237))/6*1/3, TRUE, 0)) *
IF(ISNUMBER(SEARCH("Ordinance",$L237)),7/6,1) *
IF(OR(ISNUMBER(SEARCH("Melee",$L237)),ISNUMBER(SEARCH("Bypass",$L237))),1.5,1)</f>
        <v>0</v>
      </c>
      <c r="AC237" s="17" cm="1">
        <f t="array" ref="AC237">$H237 *
IF(ISNUMBER(SEARCH("Rapid",$L237)),7/6,1) *
IF(OR(ISNUMBER(SEARCH("Beam",$L237)),ISNUMBER(SEARCH("Firestorm",$L237))),1, IF(ISNUMBER(SEARCH("Blast",$L237)),(4+$F237+(2-$F237)*0.5)/6*2,(4+$F237)/6)) *
IF(ISNUMBER(SEARCH("Fusion",$L237)), _xlfn.IFS(AC$24-$I237 &lt;=1, 9/10, AC$24-$I237 &lt;=10,(11-(AC$24-$I237))/10, AC$24-$I237 &gt;=11, 0),
_xlfn.IFS(AC$24-$I237 &lt;=1, 5/6, AC$24-$I237 &lt;=5, (7-(AC$24-$I237))/6, AND(AC$24-$I237 =6,NOT(_xlfn.IFNA(ISNUMBER(SEARCH("Rending",$L237)),FALSE))), (7-(AC$24-$I237))/6, AND(AC$24-$I237 &gt;=7,NOT(_xlfn.IFNA(ISNUMBER(SEARCH("Rending",$L237)),FALSE))), 0, AC$24-$I237 =7, (7-(AC$24-1-$I237))/6, AC$24-$I237 =8, (7-(AC$24-2-$I237))/6*2/3, AC$24-$I237 =9, (7-(AC$24-3-$I237))/6*1/3, TRUE, 0)) *
IF(ISNUMBER(SEARCH("Ordinance",$L237)),7/6,1) *
IF(OR(ISNUMBER(SEARCH("Melee",$L237)),ISNUMBER(SEARCH("Bypass",$L237))),1.5,1)</f>
        <v>0</v>
      </c>
      <c r="AD237" s="17" cm="1">
        <f t="array" ref="AD237">$H237 *
IF(ISNUMBER(SEARCH("Rapid",$L237)),7/6,1) *
IF(OR(ISNUMBER(SEARCH("Beam",$L237)),ISNUMBER(SEARCH("Firestorm",$L237))),1, IF(ISNUMBER(SEARCH("Blast",$L237)),(4+$F237+(2-$F237)*0.5)/6*2,(4+$F237)/6)) *
IF(ISNUMBER(SEARCH("Fusion",$L237)), _xlfn.IFS(AD$24-$I237 &lt;=1, 9/10, AD$24-$I237 &lt;=10,(11-(AD$24-$I237))/10, AD$24-$I237 &gt;=11, 0),
_xlfn.IFS(AD$24-$I237 &lt;=1, 5/6, AD$24-$I237 &lt;=5, (7-(AD$24-$I237))/6, AND(AD$24-$I237 =6,NOT(_xlfn.IFNA(ISNUMBER(SEARCH("Rending",$L237)),FALSE))), (7-(AD$24-$I237))/6, AND(AD$24-$I237 &gt;=7,NOT(_xlfn.IFNA(ISNUMBER(SEARCH("Rending",$L237)),FALSE))), 0, AD$24-$I237 =7, (7-(AD$24-1-$I237))/6, AD$24-$I237 =8, (7-(AD$24-2-$I237))/6*2/3, AD$24-$I237 =9, (7-(AD$24-3-$I237))/6*1/3, TRUE, 0)) *
IF(ISNUMBER(SEARCH("Ordinance",$L237)),7/6,1) *
IF(OR(ISNUMBER(SEARCH("Melee",$L237)),ISNUMBER(SEARCH("Bypass",$L237))),1.5,1)</f>
        <v>0</v>
      </c>
      <c r="AE237" s="17" cm="1">
        <f t="array" ref="AE237">$H237 *
IF(ISNUMBER(SEARCH("Rapid",$L237)),7/6,1) *
IF(OR(ISNUMBER(SEARCH("Beam",$L237)),ISNUMBER(SEARCH("Firestorm",$L237))),1, IF(ISNUMBER(SEARCH("Blast",$L237)),(4+$F237+(2-$F237)*0.5)/6*2,(4+$F237)/6)) *
IF(ISNUMBER(SEARCH("Fusion",$L237)), _xlfn.IFS(AE$24-$I237 &lt;=1, 9/10, AE$24-$I237 &lt;=10,(11-(AE$24-$I237))/10, AE$24-$I237 &gt;=11, 0),
_xlfn.IFS(AE$24-$I237 &lt;=1, 5/6, AE$24-$I237 &lt;=5, (7-(AE$24-$I237))/6, AND(AE$24-$I237 =6,NOT(_xlfn.IFNA(ISNUMBER(SEARCH("Rending",$L237)),FALSE))), (7-(AE$24-$I237))/6, AND(AE$24-$I237 &gt;=7,NOT(_xlfn.IFNA(ISNUMBER(SEARCH("Rending",$L237)),FALSE))), 0, AE$24-$I237 =7, (7-(AE$24-1-$I237))/6, AE$24-$I237 =8, (7-(AE$24-2-$I237))/6*2/3, AE$24-$I237 =9, (7-(AE$24-3-$I237))/6*1/3, TRUE, 0)) *
IF(ISNUMBER(SEARCH("Ordinance",$L237)),7/6,1) *
IF(OR(ISNUMBER(SEARCH("Melee",$L237)),ISNUMBER(SEARCH("Bypass",$L237))),1.5,1)</f>
        <v>0</v>
      </c>
      <c r="AF237" s="17" cm="1">
        <f t="array" ref="AF237">$H237 *
IF(ISNUMBER(SEARCH("Rapid",$L237)),7/6,1) *
IF(OR(ISNUMBER(SEARCH("Beam",$L237)),ISNUMBER(SEARCH("Firestorm",$L237))),1, IF(ISNUMBER(SEARCH("Blast",$L237)),(4+$F237+(2-$F237)*0.5)/6*2,(4+$F237)/6)) *
IF(ISNUMBER(SEARCH("Fusion",$L237)), _xlfn.IFS(AF$24-$I237 &lt;=1, 9/10, AF$24-$I237 &lt;=10,(11-(AF$24-$I237))/10, AF$24-$I237 &gt;=11, 0),
_xlfn.IFS(AF$24-$I237 &lt;=1, 5/6, AF$24-$I237 &lt;=5, (7-(AF$24-$I237))/6, AND(AF$24-$I237 =6,NOT(_xlfn.IFNA(ISNUMBER(SEARCH("Rending",$L237)),FALSE))), (7-(AF$24-$I237))/6, AND(AF$24-$I237 &gt;=7,NOT(_xlfn.IFNA(ISNUMBER(SEARCH("Rending",$L237)),FALSE))), 0, AF$24-$I237 =7, (7-(AF$24-1-$I237))/6, AF$24-$I237 =8, (7-(AF$24-2-$I237))/6*2/3, AF$24-$I237 =9, (7-(AF$24-3-$I237))/6*1/3, TRUE, 0)) *
IF(ISNUMBER(SEARCH("Ordinance",$L237)),7/6,1) *
IF(OR(ISNUMBER(SEARCH("Melee",$L237)),ISNUMBER(SEARCH("Bypass",$L237))),1.5,1)</f>
        <v>0</v>
      </c>
      <c r="AG237" s="16">
        <f t="shared" si="67"/>
        <v>0.77777777777777768</v>
      </c>
      <c r="AH237" s="16">
        <f t="shared" si="68"/>
        <v>1.1666666666666665</v>
      </c>
      <c r="AI237" s="17" cm="1">
        <f t="array" ref="AI237">$H237 *
IF(ISNUMBER(SEARCH("Rapid",$L237)),7/6,1) *
IF(OR(ISNUMBER(SEARCH("Beam",$L237)),ISNUMBER(SEARCH("Firestorm",$L237))),1, IF(ISNUMBER(SEARCH("Blast",$L237)),(4+$G237+(2-$G237)*0.5)/6*2,(4+$G237)/6)) *
_xlfn.IFS(AI$24-$I237 &lt;=1, 5/6, AI$24-$I237 &lt;=5, (7-(AI$24-$I237))/6, AND(AI$24-$I237 =6,NOT(_xlfn.IFNA(ISNUMBER(SEARCH("Rending",$L237)),FALSE))), (7-(AI$24-$I237))/6, AND(AI$24-$I237 &gt;=7,NOT(_xlfn.IFNA(ISNUMBER(SEARCH("Rending",$L237)),FALSE))), 0, AI$24-$I237 =7, (7-(AI$24-1-$I237))/6, AI$24-$I237 =8, (7-(AI$24-2-$I237))/6*2/3, AI$24-$I237 =9, (7-(AI$24-3-$I237))/6*1/3, TRUE, 0) *
IF(ISNUMBER(SEARCH("Ordinance",$L237)),7/6,1) *
IF(OR(ISNUMBER(SEARCH("Melee",$L237)),ISNUMBER(SEARCH("Bypass",$L237))),1.5,1)</f>
        <v>0.77777777777777768</v>
      </c>
      <c r="AJ237" s="17" cm="1">
        <f t="array" ref="AJ237">$H237 *
IF(ISNUMBER(SEARCH("Rapid",$L237)),7/6,1) *
IF(OR(ISNUMBER(SEARCH("Beam",$L237)),ISNUMBER(SEARCH("Firestorm",$L237))),1, IF(ISNUMBER(SEARCH("Blast",$L237)),(4+$G237+(2-$G237)*0.5)/6*2,(4+$G237)/6)) *
_xlfn.IFS(AJ$24-$I237 &lt;=1, 5/6, AJ$24-$I237 &lt;=5, (7-(AJ$24-$I237))/6, AND(AJ$24-$I237 =6,NOT(_xlfn.IFNA(ISNUMBER(SEARCH("Rending",$L237)),FALSE))), (7-(AJ$24-$I237))/6, AND(AJ$24-$I237 &gt;=7,NOT(_xlfn.IFNA(ISNUMBER(SEARCH("Rending",$L237)),FALSE))), 0, AJ$24-$I237 =7, (7-(AJ$24-1-$I237))/6, AJ$24-$I237 =8, (7-(AJ$24-2-$I237))/6*2/3, AJ$24-$I237 =9, (7-(AJ$24-3-$I237))/6*1/3, TRUE, 0) *
IF(ISNUMBER(SEARCH("Ordinance",$L237)),7/6,1) *
IF(OR(ISNUMBER(SEARCH("Melee",$L237)),ISNUMBER(SEARCH("Bypass",$L237))),1.5,1)</f>
        <v>0.38888888888888884</v>
      </c>
      <c r="AK237" s="17" cm="1">
        <f t="array" ref="AK237">$H237 *
IF(ISNUMBER(SEARCH("Rapid",$L237)),7/6,1) *
IF(OR(ISNUMBER(SEARCH("Beam",$L237)),ISNUMBER(SEARCH("Firestorm",$L237))),1, IF(ISNUMBER(SEARCH("Blast",$L237)),(4+$G237+(2-$G237)*0.5)/6*2,(4+$G237)/6)) *
_xlfn.IFS(AK$24-$I237 &lt;=1, 5/6, AK$24-$I237 &lt;=5, (7-(AK$24-$I237))/6, AND(AK$24-$I237 =6,NOT(_xlfn.IFNA(ISNUMBER(SEARCH("Rending",$L237)),FALSE))), (7-(AK$24-$I237))/6, AND(AK$24-$I237 &gt;=7,NOT(_xlfn.IFNA(ISNUMBER(SEARCH("Rending",$L237)),FALSE))), 0, AK$24-$I237 =7, (7-(AK$24-1-$I237))/6, AK$24-$I237 =8, (7-(AK$24-2-$I237))/6*2/3, AK$24-$I237 =9, (7-(AK$24-3-$I237))/6*1/3, TRUE, 0) *
IF(ISNUMBER(SEARCH("Ordinance",$L237)),7/6,1) *
IF(OR(ISNUMBER(SEARCH("Melee",$L237)),ISNUMBER(SEARCH("Bypass",$L237))),1.5,1)</f>
        <v>0</v>
      </c>
      <c r="AL237" s="17" cm="1">
        <f t="array" ref="AL237">$H237 *
IF(ISNUMBER(SEARCH("Rapid",$L237)),7/6,1) *
IF(OR(ISNUMBER(SEARCH("Beam",$L237)),ISNUMBER(SEARCH("Firestorm",$L237))),1, IF(ISNUMBER(SEARCH("Blast",$L237)),(4+$G237+(2-$G237)*0.5)/6*2,(4+$G237)/6)) *
_xlfn.IFS(AL$24-$I237 &lt;=1, 5/6, AL$24-$I237 &lt;=5, (7-(AL$24-$I237))/6, AND(AL$24-$I237 =6,NOT(_xlfn.IFNA(ISNUMBER(SEARCH("Rending",$L237)),FALSE))), (7-(AL$24-$I237))/6, AND(AL$24-$I237 &gt;=7,NOT(_xlfn.IFNA(ISNUMBER(SEARCH("Rending",$L237)),FALSE))), 0, AL$24-$I237 =7, (7-(AL$24-1-$I237))/6, AL$24-$I237 =8, (7-(AL$24-2-$I237))/6*2/3, AL$24-$I237 =9, (7-(AL$24-3-$I237))/6*1/3, TRUE, 0) *
IF(ISNUMBER(SEARCH("Ordinance",$L237)),7/6,1) *
IF(OR(ISNUMBER(SEARCH("Melee",$L237)),ISNUMBER(SEARCH("Bypass",$L237))),1.5,1)</f>
        <v>0</v>
      </c>
      <c r="AM237" s="17" cm="1">
        <f t="array" ref="AM237">$H237 *
IF(ISNUMBER(SEARCH("Rapid",$L237)),7/6,1) *
IF(OR(ISNUMBER(SEARCH("Beam",$L237)),ISNUMBER(SEARCH("Firestorm",$L237))),1, IF(ISNUMBER(SEARCH("Blast",$L237)),(4+$G237+(2-$G237)*0.5)/6*2,(4+$G237)/6)) *
_xlfn.IFS(AM$24-$I237 &lt;=1, 5/6, AM$24-$I237 &lt;=5, (7-(AM$24-$I237))/6, AND(AM$24-$I237 =6,NOT(_xlfn.IFNA(ISNUMBER(SEARCH("Rending",$L237)),FALSE))), (7-(AM$24-$I237))/6, AND(AM$24-$I237 &gt;=7,NOT(_xlfn.IFNA(ISNUMBER(SEARCH("Rending",$L237)),FALSE))), 0, AM$24-$I237 =7, (7-(AM$24-1-$I237))/6, AM$24-$I237 =8, (7-(AM$24-2-$I237))/6*2/3, AM$24-$I237 =9, (7-(AM$24-3-$I237))/6*1/3, TRUE, 0) *
IF(ISNUMBER(SEARCH("Ordinance",$L237)),7/6,1) *
IF(OR(ISNUMBER(SEARCH("Melee",$L237)),ISNUMBER(SEARCH("Bypass",$L237))),1.5,1)</f>
        <v>0</v>
      </c>
      <c r="AN237" s="17" cm="1">
        <f t="array" ref="AN237">$H237 *
IF(ISNUMBER(SEARCH("Rapid",$L237)),7/6,1) *
IF(OR(ISNUMBER(SEARCH("Beam",$L237)),ISNUMBER(SEARCH("Firestorm",$L237))),1, IF(ISNUMBER(SEARCH("Blast",$L237)),(4+$G237+(2-$G237)*0.5)/6*2,(4+$G237)/6)) *
_xlfn.IFS(AN$24-$I237 &lt;=1, 5/6, AN$24-$I237 &lt;=5, (7-(AN$24-$I237))/6, AND(AN$24-$I237 =6,NOT(_xlfn.IFNA(ISNUMBER(SEARCH("Rending",$L237)),FALSE))), (7-(AN$24-$I237))/6, AND(AN$24-$I237 &gt;=7,NOT(_xlfn.IFNA(ISNUMBER(SEARCH("Rending",$L237)),FALSE))), 0, AN$24-$I237 =7, (7-(AN$24-1-$I237))/6, AN$24-$I237 =8, (7-(AN$24-2-$I237))/6*2/3, AN$24-$I237 =9, (7-(AN$24-3-$I237))/6*1/3, TRUE, 0) *
IF(ISNUMBER(SEARCH("Ordinance",$L237)),7/6,1) *
IF(OR(ISNUMBER(SEARCH("Melee",$L237)),ISNUMBER(SEARCH("Bypass",$L237))),1.5,1)</f>
        <v>0</v>
      </c>
      <c r="AO237" s="17" cm="1">
        <f t="array" ref="AO237">$H237 *
IF(ISNUMBER(SEARCH("Rapid",$L237)),7/6,1) *
IF(OR(ISNUMBER(SEARCH("Beam",$L237)),ISNUMBER(SEARCH("Firestorm",$L237))),1, IF(ISNUMBER(SEARCH("Blast",$L237)),(4+$G237+(2-$G237)*0.5)/6*2,(4+$G237)/6)) *
_xlfn.IFS(AO$24-$I237 &lt;=1, 5/6, AO$24-$I237 &lt;=5, (7-(AO$24-$I237))/6, AND(AO$24-$I237 =6,NOT(_xlfn.IFNA(ISNUMBER(SEARCH("Rending",$L237)),FALSE))), (7-(AO$24-$I237))/6, AND(AO$24-$I237 &gt;=7,NOT(_xlfn.IFNA(ISNUMBER(SEARCH("Rending",$L237)),FALSE))), 0, AO$24-$I237 =7, (7-(AO$24-1-$I237))/6, AO$24-$I237 =8, (7-(AO$24-2-$I237))/6*2/3, AO$24-$I237 =9, (7-(AO$24-3-$I237))/6*1/3, TRUE, 0) *
IF(ISNUMBER(SEARCH("Ordinance",$L237)),7/6,1) *
IF(OR(ISNUMBER(SEARCH("Melee",$L237)),ISNUMBER(SEARCH("Bypass",$L237))),1.5,1)</f>
        <v>0</v>
      </c>
      <c r="AP237" s="17" cm="1">
        <f t="array" ref="AP237">$H237 *
IF(ISNUMBER(SEARCH("Rapid",$L237)),7/6,1) *
IF(OR(ISNUMBER(SEARCH("Beam",$L237)),ISNUMBER(SEARCH("Firestorm",$L237))),1, IF(ISNUMBER(SEARCH("Blast",$L237)),(4+$G237+(2-$G237)*0.5)/6*2,(4+$G237)/6)) *
_xlfn.IFS(AP$24-$I237 &lt;=1, 5/6, AP$24-$I237 &lt;=5, (7-(AP$24-$I237))/6, AND(AP$24-$I237 =6,NOT(_xlfn.IFNA(ISNUMBER(SEARCH("Rending",$L237)),FALSE))), (7-(AP$24-$I237))/6, AND(AP$24-$I237 &gt;=7,NOT(_xlfn.IFNA(ISNUMBER(SEARCH("Rending",$L237)),FALSE))), 0, AP$24-$I237 =7, (7-(AP$24-1-$I237))/6, AP$24-$I237 =8, (7-(AP$24-2-$I237))/6*2/3, AP$24-$I237 =9, (7-(AP$24-3-$I237))/6*1/3, TRUE, 0) *
IF(ISNUMBER(SEARCH("Ordinance",$L237)),7/6,1) *
IF(OR(ISNUMBER(SEARCH("Melee",$L237)),ISNUMBER(SEARCH("Bypass",$L237))),1.5,1)</f>
        <v>0</v>
      </c>
      <c r="AQ237" s="17" cm="1">
        <f t="array" ref="AQ237">$H237 *
IF(ISNUMBER(SEARCH("Rapid",$L237)),7/6,1) *
IF(OR(ISNUMBER(SEARCH("Beam",$L237)),ISNUMBER(SEARCH("Firestorm",$L237))),1, IF(ISNUMBER(SEARCH("Blast",$L237)),(4+$G237+(2-$G237)*0.5)/6*2,(4+$G237)/6)) *
_xlfn.IFS(AQ$24-$I237 &lt;=1, 5/6, AQ$24-$I237 &lt;=5, (7-(AQ$24-$I237))/6, AND(AQ$24-$I237 =6,NOT(_xlfn.IFNA(ISNUMBER(SEARCH("Rending",$L237)),FALSE))), (7-(AQ$24-$I237))/6, AND(AQ$24-$I237 &gt;=7,NOT(_xlfn.IFNA(ISNUMBER(SEARCH("Rending",$L237)),FALSE))), 0, AQ$24-$I237 =7, (7-(AQ$24-1-$I237))/6, AQ$24-$I237 =8, (7-(AQ$24-2-$I237))/6*2/3, AQ$24-$I237 =9, (7-(AQ$24-3-$I237))/6*1/3, TRUE, 0) *
IF(ISNUMBER(SEARCH("Ordinance",$L237)),7/6,1) *
IF(OR(ISNUMBER(SEARCH("Melee",$L237)),ISNUMBER(SEARCH("Bypass",$L237))),1.5,1)</f>
        <v>0</v>
      </c>
      <c r="AS237" s="16">
        <f t="shared" si="72"/>
        <v>0.28518518518518515</v>
      </c>
      <c r="AT237" s="16">
        <f t="shared" si="73"/>
        <v>0.42777777777777776</v>
      </c>
      <c r="AU237" s="16">
        <f t="shared" si="74"/>
        <v>0.18148148148148144</v>
      </c>
      <c r="AV237" s="2">
        <v>11</v>
      </c>
    </row>
    <row r="238" spans="1:48" x14ac:dyDescent="0.3">
      <c r="A238" t="s">
        <v>827</v>
      </c>
      <c r="B238" s="3">
        <v>6</v>
      </c>
      <c r="C238" s="3">
        <v>12</v>
      </c>
      <c r="F238" s="10"/>
      <c r="G238" s="10"/>
      <c r="H238" s="3">
        <v>4</v>
      </c>
      <c r="I238" s="8">
        <v>4</v>
      </c>
      <c r="K238" s="3">
        <v>0</v>
      </c>
      <c r="L238" s="3" t="s">
        <v>480</v>
      </c>
      <c r="V238" s="16">
        <f t="shared" si="65"/>
        <v>1.037037037037037</v>
      </c>
      <c r="W238" s="16">
        <f t="shared" si="66"/>
        <v>1.5555555555555556</v>
      </c>
      <c r="X238" s="17" cm="1">
        <f t="array" ref="X238">$H238 *
IF(ISNUMBER(SEARCH("Rapid",$L238)),7/6,1) *
IF(OR(ISNUMBER(SEARCH("Beam",$L238)),ISNUMBER(SEARCH("Firestorm",$L238))),1, IF(ISNUMBER(SEARCH("Blast",$L238)),(4+$F238+(2-$F238)*0.5)/6*2,(4+$F238)/6)) *
IF(ISNUMBER(SEARCH("Fusion",$L238)), _xlfn.IFS(X$24-$I238 &lt;=1, 9/10, X$24-$I238 &lt;=10,(11-(X$24-$I238))/10, X$24-$I238 &gt;=11, 0),
_xlfn.IFS(X$24-$I238 &lt;=1, 5/6, X$24-$I238 &lt;=5, (7-(X$24-$I238))/6, AND(X$24-$I238 =6,NOT(_xlfn.IFNA(ISNUMBER(SEARCH("Rending",$L238)),FALSE))), (7-(X$24-$I238))/6, AND(X$24-$I238 &gt;=7,NOT(_xlfn.IFNA(ISNUMBER(SEARCH("Rending",$L238)),FALSE))), 0, X$24-$I238 =7, (7-(X$24-1-$I238))/6, X$24-$I238 =8, (7-(X$24-2-$I238))/6*2/3, X$24-$I238 =9, (7-(X$24-3-$I238))/6*1/3, TRUE, 0)) *
IF(ISNUMBER(SEARCH("Ordinance",$L238)),7/6,1) *
IF(OR(ISNUMBER(SEARCH("Melee",$L238)),ISNUMBER(SEARCH("Bypass",$L238))),1.5,1)</f>
        <v>1.037037037037037</v>
      </c>
      <c r="Y238" s="17" cm="1">
        <f t="array" ref="Y238">$H238 *
IF(ISNUMBER(SEARCH("Rapid",$L238)),7/6,1) *
IF(OR(ISNUMBER(SEARCH("Beam",$L238)),ISNUMBER(SEARCH("Firestorm",$L238))),1, IF(ISNUMBER(SEARCH("Blast",$L238)),(4+$F238+(2-$F238)*0.5)/6*2,(4+$F238)/6)) *
IF(ISNUMBER(SEARCH("Fusion",$L238)), _xlfn.IFS(Y$24-$I238 &lt;=1, 9/10, Y$24-$I238 &lt;=10,(11-(Y$24-$I238))/10, Y$24-$I238 &gt;=11, 0),
_xlfn.IFS(Y$24-$I238 &lt;=1, 5/6, Y$24-$I238 &lt;=5, (7-(Y$24-$I238))/6, AND(Y$24-$I238 =6,NOT(_xlfn.IFNA(ISNUMBER(SEARCH("Rending",$L238)),FALSE))), (7-(Y$24-$I238))/6, AND(Y$24-$I238 &gt;=7,NOT(_xlfn.IFNA(ISNUMBER(SEARCH("Rending",$L238)),FALSE))), 0, Y$24-$I238 =7, (7-(Y$24-1-$I238))/6, Y$24-$I238 =8, (7-(Y$24-2-$I238))/6*2/3, Y$24-$I238 =9, (7-(Y$24-3-$I238))/6*1/3, TRUE, 0)) *
IF(ISNUMBER(SEARCH("Ordinance",$L238)),7/6,1) *
IF(OR(ISNUMBER(SEARCH("Melee",$L238)),ISNUMBER(SEARCH("Bypass",$L238))),1.5,1)</f>
        <v>0.51851851851851849</v>
      </c>
      <c r="Z238" s="17" cm="1">
        <f t="array" ref="Z238">$H238 *
IF(ISNUMBER(SEARCH("Rapid",$L238)),7/6,1) *
IF(OR(ISNUMBER(SEARCH("Beam",$L238)),ISNUMBER(SEARCH("Firestorm",$L238))),1, IF(ISNUMBER(SEARCH("Blast",$L238)),(4+$F238+(2-$F238)*0.5)/6*2,(4+$F238)/6)) *
IF(ISNUMBER(SEARCH("Fusion",$L238)), _xlfn.IFS(Z$24-$I238 &lt;=1, 9/10, Z$24-$I238 &lt;=10,(11-(Z$24-$I238))/10, Z$24-$I238 &gt;=11, 0),
_xlfn.IFS(Z$24-$I238 &lt;=1, 5/6, Z$24-$I238 &lt;=5, (7-(Z$24-$I238))/6, AND(Z$24-$I238 =6,NOT(_xlfn.IFNA(ISNUMBER(SEARCH("Rending",$L238)),FALSE))), (7-(Z$24-$I238))/6, AND(Z$24-$I238 &gt;=7,NOT(_xlfn.IFNA(ISNUMBER(SEARCH("Rending",$L238)),FALSE))), 0, Z$24-$I238 =7, (7-(Z$24-1-$I238))/6, Z$24-$I238 =8, (7-(Z$24-2-$I238))/6*2/3, Z$24-$I238 =9, (7-(Z$24-3-$I238))/6*1/3, TRUE, 0)) *
IF(ISNUMBER(SEARCH("Ordinance",$L238)),7/6,1) *
IF(OR(ISNUMBER(SEARCH("Melee",$L238)),ISNUMBER(SEARCH("Bypass",$L238))),1.5,1)</f>
        <v>0</v>
      </c>
      <c r="AA238" s="17" cm="1">
        <f t="array" ref="AA238">$H238 *
IF(ISNUMBER(SEARCH("Rapid",$L238)),7/6,1) *
IF(OR(ISNUMBER(SEARCH("Beam",$L238)),ISNUMBER(SEARCH("Firestorm",$L238))),1, IF(ISNUMBER(SEARCH("Blast",$L238)),(4+$F238+(2-$F238)*0.5)/6*2,(4+$F238)/6)) *
IF(ISNUMBER(SEARCH("Fusion",$L238)), _xlfn.IFS(AA$24-$I238 &lt;=1, 9/10, AA$24-$I238 &lt;=10,(11-(AA$24-$I238))/10, AA$24-$I238 &gt;=11, 0),
_xlfn.IFS(AA$24-$I238 &lt;=1, 5/6, AA$24-$I238 &lt;=5, (7-(AA$24-$I238))/6, AND(AA$24-$I238 =6,NOT(_xlfn.IFNA(ISNUMBER(SEARCH("Rending",$L238)),FALSE))), (7-(AA$24-$I238))/6, AND(AA$24-$I238 &gt;=7,NOT(_xlfn.IFNA(ISNUMBER(SEARCH("Rending",$L238)),FALSE))), 0, AA$24-$I238 =7, (7-(AA$24-1-$I238))/6, AA$24-$I238 =8, (7-(AA$24-2-$I238))/6*2/3, AA$24-$I238 =9, (7-(AA$24-3-$I238))/6*1/3, TRUE, 0)) *
IF(ISNUMBER(SEARCH("Ordinance",$L238)),7/6,1) *
IF(OR(ISNUMBER(SEARCH("Melee",$L238)),ISNUMBER(SEARCH("Bypass",$L238))),1.5,1)</f>
        <v>0</v>
      </c>
      <c r="AB238" s="17" cm="1">
        <f t="array" ref="AB238">$H238 *
IF(ISNUMBER(SEARCH("Rapid",$L238)),7/6,1) *
IF(OR(ISNUMBER(SEARCH("Beam",$L238)),ISNUMBER(SEARCH("Firestorm",$L238))),1, IF(ISNUMBER(SEARCH("Blast",$L238)),(4+$F238+(2-$F238)*0.5)/6*2,(4+$F238)/6)) *
IF(ISNUMBER(SEARCH("Fusion",$L238)), _xlfn.IFS(AB$24-$I238 &lt;=1, 9/10, AB$24-$I238 &lt;=10,(11-(AB$24-$I238))/10, AB$24-$I238 &gt;=11, 0),
_xlfn.IFS(AB$24-$I238 &lt;=1, 5/6, AB$24-$I238 &lt;=5, (7-(AB$24-$I238))/6, AND(AB$24-$I238 =6,NOT(_xlfn.IFNA(ISNUMBER(SEARCH("Rending",$L238)),FALSE))), (7-(AB$24-$I238))/6, AND(AB$24-$I238 &gt;=7,NOT(_xlfn.IFNA(ISNUMBER(SEARCH("Rending",$L238)),FALSE))), 0, AB$24-$I238 =7, (7-(AB$24-1-$I238))/6, AB$24-$I238 =8, (7-(AB$24-2-$I238))/6*2/3, AB$24-$I238 =9, (7-(AB$24-3-$I238))/6*1/3, TRUE, 0)) *
IF(ISNUMBER(SEARCH("Ordinance",$L238)),7/6,1) *
IF(OR(ISNUMBER(SEARCH("Melee",$L238)),ISNUMBER(SEARCH("Bypass",$L238))),1.5,1)</f>
        <v>0</v>
      </c>
      <c r="AC238" s="17" cm="1">
        <f t="array" ref="AC238">$H238 *
IF(ISNUMBER(SEARCH("Rapid",$L238)),7/6,1) *
IF(OR(ISNUMBER(SEARCH("Beam",$L238)),ISNUMBER(SEARCH("Firestorm",$L238))),1, IF(ISNUMBER(SEARCH("Blast",$L238)),(4+$F238+(2-$F238)*0.5)/6*2,(4+$F238)/6)) *
IF(ISNUMBER(SEARCH("Fusion",$L238)), _xlfn.IFS(AC$24-$I238 &lt;=1, 9/10, AC$24-$I238 &lt;=10,(11-(AC$24-$I238))/10, AC$24-$I238 &gt;=11, 0),
_xlfn.IFS(AC$24-$I238 &lt;=1, 5/6, AC$24-$I238 &lt;=5, (7-(AC$24-$I238))/6, AND(AC$24-$I238 =6,NOT(_xlfn.IFNA(ISNUMBER(SEARCH("Rending",$L238)),FALSE))), (7-(AC$24-$I238))/6, AND(AC$24-$I238 &gt;=7,NOT(_xlfn.IFNA(ISNUMBER(SEARCH("Rending",$L238)),FALSE))), 0, AC$24-$I238 =7, (7-(AC$24-1-$I238))/6, AC$24-$I238 =8, (7-(AC$24-2-$I238))/6*2/3, AC$24-$I238 =9, (7-(AC$24-3-$I238))/6*1/3, TRUE, 0)) *
IF(ISNUMBER(SEARCH("Ordinance",$L238)),7/6,1) *
IF(OR(ISNUMBER(SEARCH("Melee",$L238)),ISNUMBER(SEARCH("Bypass",$L238))),1.5,1)</f>
        <v>0</v>
      </c>
      <c r="AD238" s="17" cm="1">
        <f t="array" ref="AD238">$H238 *
IF(ISNUMBER(SEARCH("Rapid",$L238)),7/6,1) *
IF(OR(ISNUMBER(SEARCH("Beam",$L238)),ISNUMBER(SEARCH("Firestorm",$L238))),1, IF(ISNUMBER(SEARCH("Blast",$L238)),(4+$F238+(2-$F238)*0.5)/6*2,(4+$F238)/6)) *
IF(ISNUMBER(SEARCH("Fusion",$L238)), _xlfn.IFS(AD$24-$I238 &lt;=1, 9/10, AD$24-$I238 &lt;=10,(11-(AD$24-$I238))/10, AD$24-$I238 &gt;=11, 0),
_xlfn.IFS(AD$24-$I238 &lt;=1, 5/6, AD$24-$I238 &lt;=5, (7-(AD$24-$I238))/6, AND(AD$24-$I238 =6,NOT(_xlfn.IFNA(ISNUMBER(SEARCH("Rending",$L238)),FALSE))), (7-(AD$24-$I238))/6, AND(AD$24-$I238 &gt;=7,NOT(_xlfn.IFNA(ISNUMBER(SEARCH("Rending",$L238)),FALSE))), 0, AD$24-$I238 =7, (7-(AD$24-1-$I238))/6, AD$24-$I238 =8, (7-(AD$24-2-$I238))/6*2/3, AD$24-$I238 =9, (7-(AD$24-3-$I238))/6*1/3, TRUE, 0)) *
IF(ISNUMBER(SEARCH("Ordinance",$L238)),7/6,1) *
IF(OR(ISNUMBER(SEARCH("Melee",$L238)),ISNUMBER(SEARCH("Bypass",$L238))),1.5,1)</f>
        <v>0</v>
      </c>
      <c r="AE238" s="17" cm="1">
        <f t="array" ref="AE238">$H238 *
IF(ISNUMBER(SEARCH("Rapid",$L238)),7/6,1) *
IF(OR(ISNUMBER(SEARCH("Beam",$L238)),ISNUMBER(SEARCH("Firestorm",$L238))),1, IF(ISNUMBER(SEARCH("Blast",$L238)),(4+$F238+(2-$F238)*0.5)/6*2,(4+$F238)/6)) *
IF(ISNUMBER(SEARCH("Fusion",$L238)), _xlfn.IFS(AE$24-$I238 &lt;=1, 9/10, AE$24-$I238 &lt;=10,(11-(AE$24-$I238))/10, AE$24-$I238 &gt;=11, 0),
_xlfn.IFS(AE$24-$I238 &lt;=1, 5/6, AE$24-$I238 &lt;=5, (7-(AE$24-$I238))/6, AND(AE$24-$I238 =6,NOT(_xlfn.IFNA(ISNUMBER(SEARCH("Rending",$L238)),FALSE))), (7-(AE$24-$I238))/6, AND(AE$24-$I238 &gt;=7,NOT(_xlfn.IFNA(ISNUMBER(SEARCH("Rending",$L238)),FALSE))), 0, AE$24-$I238 =7, (7-(AE$24-1-$I238))/6, AE$24-$I238 =8, (7-(AE$24-2-$I238))/6*2/3, AE$24-$I238 =9, (7-(AE$24-3-$I238))/6*1/3, TRUE, 0)) *
IF(ISNUMBER(SEARCH("Ordinance",$L238)),7/6,1) *
IF(OR(ISNUMBER(SEARCH("Melee",$L238)),ISNUMBER(SEARCH("Bypass",$L238))),1.5,1)</f>
        <v>0</v>
      </c>
      <c r="AF238" s="17" cm="1">
        <f t="array" ref="AF238">$H238 *
IF(ISNUMBER(SEARCH("Rapid",$L238)),7/6,1) *
IF(OR(ISNUMBER(SEARCH("Beam",$L238)),ISNUMBER(SEARCH("Firestorm",$L238))),1, IF(ISNUMBER(SEARCH("Blast",$L238)),(4+$F238+(2-$F238)*0.5)/6*2,(4+$F238)/6)) *
IF(ISNUMBER(SEARCH("Fusion",$L238)), _xlfn.IFS(AF$24-$I238 &lt;=1, 9/10, AF$24-$I238 &lt;=10,(11-(AF$24-$I238))/10, AF$24-$I238 &gt;=11, 0),
_xlfn.IFS(AF$24-$I238 &lt;=1, 5/6, AF$24-$I238 &lt;=5, (7-(AF$24-$I238))/6, AND(AF$24-$I238 =6,NOT(_xlfn.IFNA(ISNUMBER(SEARCH("Rending",$L238)),FALSE))), (7-(AF$24-$I238))/6, AND(AF$24-$I238 &gt;=7,NOT(_xlfn.IFNA(ISNUMBER(SEARCH("Rending",$L238)),FALSE))), 0, AF$24-$I238 =7, (7-(AF$24-1-$I238))/6, AF$24-$I238 =8, (7-(AF$24-2-$I238))/6*2/3, AF$24-$I238 =9, (7-(AF$24-3-$I238))/6*1/3, TRUE, 0)) *
IF(ISNUMBER(SEARCH("Ordinance",$L238)),7/6,1) *
IF(OR(ISNUMBER(SEARCH("Melee",$L238)),ISNUMBER(SEARCH("Bypass",$L238))),1.5,1)</f>
        <v>0</v>
      </c>
      <c r="AG238" s="16">
        <f t="shared" si="67"/>
        <v>1.037037037037037</v>
      </c>
      <c r="AH238" s="16">
        <f t="shared" si="68"/>
        <v>1.5555555555555556</v>
      </c>
      <c r="AI238" s="17" cm="1">
        <f t="array" ref="AI238">$H238 *
IF(ISNUMBER(SEARCH("Rapid",$L238)),7/6,1) *
IF(OR(ISNUMBER(SEARCH("Beam",$L238)),ISNUMBER(SEARCH("Firestorm",$L238))),1, IF(ISNUMBER(SEARCH("Blast",$L238)),(4+$G238+(2-$G238)*0.5)/6*2,(4+$G238)/6)) *
_xlfn.IFS(AI$24-$I238 &lt;=1, 5/6, AI$24-$I238 &lt;=5, (7-(AI$24-$I238))/6, AND(AI$24-$I238 =6,NOT(_xlfn.IFNA(ISNUMBER(SEARCH("Rending",$L238)),FALSE))), (7-(AI$24-$I238))/6, AND(AI$24-$I238 &gt;=7,NOT(_xlfn.IFNA(ISNUMBER(SEARCH("Rending",$L238)),FALSE))), 0, AI$24-$I238 =7, (7-(AI$24-1-$I238))/6, AI$24-$I238 =8, (7-(AI$24-2-$I238))/6*2/3, AI$24-$I238 =9, (7-(AI$24-3-$I238))/6*1/3, TRUE, 0) *
IF(ISNUMBER(SEARCH("Ordinance",$L238)),7/6,1) *
IF(OR(ISNUMBER(SEARCH("Melee",$L238)),ISNUMBER(SEARCH("Bypass",$L238))),1.5,1)</f>
        <v>1.037037037037037</v>
      </c>
      <c r="AJ238" s="17" cm="1">
        <f t="array" ref="AJ238">$H238 *
IF(ISNUMBER(SEARCH("Rapid",$L238)),7/6,1) *
IF(OR(ISNUMBER(SEARCH("Beam",$L238)),ISNUMBER(SEARCH("Firestorm",$L238))),1, IF(ISNUMBER(SEARCH("Blast",$L238)),(4+$G238+(2-$G238)*0.5)/6*2,(4+$G238)/6)) *
_xlfn.IFS(AJ$24-$I238 &lt;=1, 5/6, AJ$24-$I238 &lt;=5, (7-(AJ$24-$I238))/6, AND(AJ$24-$I238 =6,NOT(_xlfn.IFNA(ISNUMBER(SEARCH("Rending",$L238)),FALSE))), (7-(AJ$24-$I238))/6, AND(AJ$24-$I238 &gt;=7,NOT(_xlfn.IFNA(ISNUMBER(SEARCH("Rending",$L238)),FALSE))), 0, AJ$24-$I238 =7, (7-(AJ$24-1-$I238))/6, AJ$24-$I238 =8, (7-(AJ$24-2-$I238))/6*2/3, AJ$24-$I238 =9, (7-(AJ$24-3-$I238))/6*1/3, TRUE, 0) *
IF(ISNUMBER(SEARCH("Ordinance",$L238)),7/6,1) *
IF(OR(ISNUMBER(SEARCH("Melee",$L238)),ISNUMBER(SEARCH("Bypass",$L238))),1.5,1)</f>
        <v>0.51851851851851849</v>
      </c>
      <c r="AK238" s="17" cm="1">
        <f t="array" ref="AK238">$H238 *
IF(ISNUMBER(SEARCH("Rapid",$L238)),7/6,1) *
IF(OR(ISNUMBER(SEARCH("Beam",$L238)),ISNUMBER(SEARCH("Firestorm",$L238))),1, IF(ISNUMBER(SEARCH("Blast",$L238)),(4+$G238+(2-$G238)*0.5)/6*2,(4+$G238)/6)) *
_xlfn.IFS(AK$24-$I238 &lt;=1, 5/6, AK$24-$I238 &lt;=5, (7-(AK$24-$I238))/6, AND(AK$24-$I238 =6,NOT(_xlfn.IFNA(ISNUMBER(SEARCH("Rending",$L238)),FALSE))), (7-(AK$24-$I238))/6, AND(AK$24-$I238 &gt;=7,NOT(_xlfn.IFNA(ISNUMBER(SEARCH("Rending",$L238)),FALSE))), 0, AK$24-$I238 =7, (7-(AK$24-1-$I238))/6, AK$24-$I238 =8, (7-(AK$24-2-$I238))/6*2/3, AK$24-$I238 =9, (7-(AK$24-3-$I238))/6*1/3, TRUE, 0) *
IF(ISNUMBER(SEARCH("Ordinance",$L238)),7/6,1) *
IF(OR(ISNUMBER(SEARCH("Melee",$L238)),ISNUMBER(SEARCH("Bypass",$L238))),1.5,1)</f>
        <v>0</v>
      </c>
      <c r="AL238" s="17" cm="1">
        <f t="array" ref="AL238">$H238 *
IF(ISNUMBER(SEARCH("Rapid",$L238)),7/6,1) *
IF(OR(ISNUMBER(SEARCH("Beam",$L238)),ISNUMBER(SEARCH("Firestorm",$L238))),1, IF(ISNUMBER(SEARCH("Blast",$L238)),(4+$G238+(2-$G238)*0.5)/6*2,(4+$G238)/6)) *
_xlfn.IFS(AL$24-$I238 &lt;=1, 5/6, AL$24-$I238 &lt;=5, (7-(AL$24-$I238))/6, AND(AL$24-$I238 =6,NOT(_xlfn.IFNA(ISNUMBER(SEARCH("Rending",$L238)),FALSE))), (7-(AL$24-$I238))/6, AND(AL$24-$I238 &gt;=7,NOT(_xlfn.IFNA(ISNUMBER(SEARCH("Rending",$L238)),FALSE))), 0, AL$24-$I238 =7, (7-(AL$24-1-$I238))/6, AL$24-$I238 =8, (7-(AL$24-2-$I238))/6*2/3, AL$24-$I238 =9, (7-(AL$24-3-$I238))/6*1/3, TRUE, 0) *
IF(ISNUMBER(SEARCH("Ordinance",$L238)),7/6,1) *
IF(OR(ISNUMBER(SEARCH("Melee",$L238)),ISNUMBER(SEARCH("Bypass",$L238))),1.5,1)</f>
        <v>0</v>
      </c>
      <c r="AM238" s="17" cm="1">
        <f t="array" ref="AM238">$H238 *
IF(ISNUMBER(SEARCH("Rapid",$L238)),7/6,1) *
IF(OR(ISNUMBER(SEARCH("Beam",$L238)),ISNUMBER(SEARCH("Firestorm",$L238))),1, IF(ISNUMBER(SEARCH("Blast",$L238)),(4+$G238+(2-$G238)*0.5)/6*2,(4+$G238)/6)) *
_xlfn.IFS(AM$24-$I238 &lt;=1, 5/6, AM$24-$I238 &lt;=5, (7-(AM$24-$I238))/6, AND(AM$24-$I238 =6,NOT(_xlfn.IFNA(ISNUMBER(SEARCH("Rending",$L238)),FALSE))), (7-(AM$24-$I238))/6, AND(AM$24-$I238 &gt;=7,NOT(_xlfn.IFNA(ISNUMBER(SEARCH("Rending",$L238)),FALSE))), 0, AM$24-$I238 =7, (7-(AM$24-1-$I238))/6, AM$24-$I238 =8, (7-(AM$24-2-$I238))/6*2/3, AM$24-$I238 =9, (7-(AM$24-3-$I238))/6*1/3, TRUE, 0) *
IF(ISNUMBER(SEARCH("Ordinance",$L238)),7/6,1) *
IF(OR(ISNUMBER(SEARCH("Melee",$L238)),ISNUMBER(SEARCH("Bypass",$L238))),1.5,1)</f>
        <v>0</v>
      </c>
      <c r="AN238" s="17" cm="1">
        <f t="array" ref="AN238">$H238 *
IF(ISNUMBER(SEARCH("Rapid",$L238)),7/6,1) *
IF(OR(ISNUMBER(SEARCH("Beam",$L238)),ISNUMBER(SEARCH("Firestorm",$L238))),1, IF(ISNUMBER(SEARCH("Blast",$L238)),(4+$G238+(2-$G238)*0.5)/6*2,(4+$G238)/6)) *
_xlfn.IFS(AN$24-$I238 &lt;=1, 5/6, AN$24-$I238 &lt;=5, (7-(AN$24-$I238))/6, AND(AN$24-$I238 =6,NOT(_xlfn.IFNA(ISNUMBER(SEARCH("Rending",$L238)),FALSE))), (7-(AN$24-$I238))/6, AND(AN$24-$I238 &gt;=7,NOT(_xlfn.IFNA(ISNUMBER(SEARCH("Rending",$L238)),FALSE))), 0, AN$24-$I238 =7, (7-(AN$24-1-$I238))/6, AN$24-$I238 =8, (7-(AN$24-2-$I238))/6*2/3, AN$24-$I238 =9, (7-(AN$24-3-$I238))/6*1/3, TRUE, 0) *
IF(ISNUMBER(SEARCH("Ordinance",$L238)),7/6,1) *
IF(OR(ISNUMBER(SEARCH("Melee",$L238)),ISNUMBER(SEARCH("Bypass",$L238))),1.5,1)</f>
        <v>0</v>
      </c>
      <c r="AO238" s="17" cm="1">
        <f t="array" ref="AO238">$H238 *
IF(ISNUMBER(SEARCH("Rapid",$L238)),7/6,1) *
IF(OR(ISNUMBER(SEARCH("Beam",$L238)),ISNUMBER(SEARCH("Firestorm",$L238))),1, IF(ISNUMBER(SEARCH("Blast",$L238)),(4+$G238+(2-$G238)*0.5)/6*2,(4+$G238)/6)) *
_xlfn.IFS(AO$24-$I238 &lt;=1, 5/6, AO$24-$I238 &lt;=5, (7-(AO$24-$I238))/6, AND(AO$24-$I238 =6,NOT(_xlfn.IFNA(ISNUMBER(SEARCH("Rending",$L238)),FALSE))), (7-(AO$24-$I238))/6, AND(AO$24-$I238 &gt;=7,NOT(_xlfn.IFNA(ISNUMBER(SEARCH("Rending",$L238)),FALSE))), 0, AO$24-$I238 =7, (7-(AO$24-1-$I238))/6, AO$24-$I238 =8, (7-(AO$24-2-$I238))/6*2/3, AO$24-$I238 =9, (7-(AO$24-3-$I238))/6*1/3, TRUE, 0) *
IF(ISNUMBER(SEARCH("Ordinance",$L238)),7/6,1) *
IF(OR(ISNUMBER(SEARCH("Melee",$L238)),ISNUMBER(SEARCH("Bypass",$L238))),1.5,1)</f>
        <v>0</v>
      </c>
      <c r="AP238" s="17" cm="1">
        <f t="array" ref="AP238">$H238 *
IF(ISNUMBER(SEARCH("Rapid",$L238)),7/6,1) *
IF(OR(ISNUMBER(SEARCH("Beam",$L238)),ISNUMBER(SEARCH("Firestorm",$L238))),1, IF(ISNUMBER(SEARCH("Blast",$L238)),(4+$G238+(2-$G238)*0.5)/6*2,(4+$G238)/6)) *
_xlfn.IFS(AP$24-$I238 &lt;=1, 5/6, AP$24-$I238 &lt;=5, (7-(AP$24-$I238))/6, AND(AP$24-$I238 =6,NOT(_xlfn.IFNA(ISNUMBER(SEARCH("Rending",$L238)),FALSE))), (7-(AP$24-$I238))/6, AND(AP$24-$I238 &gt;=7,NOT(_xlfn.IFNA(ISNUMBER(SEARCH("Rending",$L238)),FALSE))), 0, AP$24-$I238 =7, (7-(AP$24-1-$I238))/6, AP$24-$I238 =8, (7-(AP$24-2-$I238))/6*2/3, AP$24-$I238 =9, (7-(AP$24-3-$I238))/6*1/3, TRUE, 0) *
IF(ISNUMBER(SEARCH("Ordinance",$L238)),7/6,1) *
IF(OR(ISNUMBER(SEARCH("Melee",$L238)),ISNUMBER(SEARCH("Bypass",$L238))),1.5,1)</f>
        <v>0</v>
      </c>
      <c r="AQ238" s="17" cm="1">
        <f t="array" ref="AQ238">$H238 *
IF(ISNUMBER(SEARCH("Rapid",$L238)),7/6,1) *
IF(OR(ISNUMBER(SEARCH("Beam",$L238)),ISNUMBER(SEARCH("Firestorm",$L238))),1, IF(ISNUMBER(SEARCH("Blast",$L238)),(4+$G238+(2-$G238)*0.5)/6*2,(4+$G238)/6)) *
_xlfn.IFS(AQ$24-$I238 &lt;=1, 5/6, AQ$24-$I238 &lt;=5, (7-(AQ$24-$I238))/6, AND(AQ$24-$I238 =6,NOT(_xlfn.IFNA(ISNUMBER(SEARCH("Rending",$L238)),FALSE))), (7-(AQ$24-$I238))/6, AND(AQ$24-$I238 &gt;=7,NOT(_xlfn.IFNA(ISNUMBER(SEARCH("Rending",$L238)),FALSE))), 0, AQ$24-$I238 =7, (7-(AQ$24-1-$I238))/6, AQ$24-$I238 =8, (7-(AQ$24-2-$I238))/6*2/3, AQ$24-$I238 =9, (7-(AQ$24-3-$I238))/6*1/3, TRUE, 0) *
IF(ISNUMBER(SEARCH("Ordinance",$L238)),7/6,1) *
IF(OR(ISNUMBER(SEARCH("Melee",$L238)),ISNUMBER(SEARCH("Bypass",$L238))),1.5,1)</f>
        <v>0</v>
      </c>
      <c r="AS238" s="16">
        <f t="shared" si="72"/>
        <v>0.38024691358024693</v>
      </c>
      <c r="AT238" s="16">
        <f t="shared" si="73"/>
        <v>0.57037037037037042</v>
      </c>
      <c r="AU238" s="16">
        <f t="shared" si="74"/>
        <v>0.24197530864197528</v>
      </c>
      <c r="AV238" s="2">
        <v>11</v>
      </c>
    </row>
    <row r="239" spans="1:48" x14ac:dyDescent="0.3">
      <c r="F239" s="10"/>
      <c r="G239" s="10"/>
      <c r="I239" s="8"/>
      <c r="V239" s="16">
        <f t="shared" si="65"/>
        <v>0</v>
      </c>
      <c r="W239" s="16">
        <f t="shared" si="66"/>
        <v>0</v>
      </c>
      <c r="X239" s="17" cm="1">
        <f t="array" ref="X239">$H239 *
IF(ISNUMBER(SEARCH("Rapid",$L239)),7/6,1) *
IF(OR(ISNUMBER(SEARCH("Beam",$L239)),ISNUMBER(SEARCH("Firestorm",$L239))),1, IF(ISNUMBER(SEARCH("Blast",$L239)),(4+$F239+(2-$F239)*0.5)/6*2,(4+$F239)/6)) *
IF(ISNUMBER(SEARCH("Fusion",$L239)), _xlfn.IFS(X$24-$I239 &lt;=1, 9/10, X$24-$I239 &lt;=10,(11-(X$24-$I239))/10, X$24-$I239 &gt;=11, 0),
_xlfn.IFS(X$24-$I239 &lt;=1, 5/6, X$24-$I239 &lt;=5, (7-(X$24-$I239))/6, AND(X$24-$I239 =6,NOT(_xlfn.IFNA(ISNUMBER(SEARCH("Rending",$L239)),FALSE))), (7-(X$24-$I239))/6, AND(X$24-$I239 &gt;=7,NOT(_xlfn.IFNA(ISNUMBER(SEARCH("Rending",$L239)),FALSE))), 0, X$24-$I239 =7, (7-(X$24-1-$I239))/6, X$24-$I239 =8, (7-(X$24-2-$I239))/6*2/3, X$24-$I239 =9, (7-(X$24-3-$I239))/6*1/3, TRUE, 0)) *
IF(ISNUMBER(SEARCH("Ordinance",$L239)),7/6,1) *
IF(OR(ISNUMBER(SEARCH("Melee",$L239)),ISNUMBER(SEARCH("Bypass",$L239))),1.5,1)</f>
        <v>0</v>
      </c>
      <c r="Y239" s="17" cm="1">
        <f t="array" ref="Y239">$H239 *
IF(ISNUMBER(SEARCH("Rapid",$L239)),7/6,1) *
IF(OR(ISNUMBER(SEARCH("Beam",$L239)),ISNUMBER(SEARCH("Firestorm",$L239))),1, IF(ISNUMBER(SEARCH("Blast",$L239)),(4+$F239+(2-$F239)*0.5)/6*2,(4+$F239)/6)) *
IF(ISNUMBER(SEARCH("Fusion",$L239)), _xlfn.IFS(Y$24-$I239 &lt;=1, 9/10, Y$24-$I239 &lt;=10,(11-(Y$24-$I239))/10, Y$24-$I239 &gt;=11, 0),
_xlfn.IFS(Y$24-$I239 &lt;=1, 5/6, Y$24-$I239 &lt;=5, (7-(Y$24-$I239))/6, AND(Y$24-$I239 =6,NOT(_xlfn.IFNA(ISNUMBER(SEARCH("Rending",$L239)),FALSE))), (7-(Y$24-$I239))/6, AND(Y$24-$I239 &gt;=7,NOT(_xlfn.IFNA(ISNUMBER(SEARCH("Rending",$L239)),FALSE))), 0, Y$24-$I239 =7, (7-(Y$24-1-$I239))/6, Y$24-$I239 =8, (7-(Y$24-2-$I239))/6*2/3, Y$24-$I239 =9, (7-(Y$24-3-$I239))/6*1/3, TRUE, 0)) *
IF(ISNUMBER(SEARCH("Ordinance",$L239)),7/6,1) *
IF(OR(ISNUMBER(SEARCH("Melee",$L239)),ISNUMBER(SEARCH("Bypass",$L239))),1.5,1)</f>
        <v>0</v>
      </c>
      <c r="Z239" s="17" cm="1">
        <f t="array" ref="Z239">$H239 *
IF(ISNUMBER(SEARCH("Rapid",$L239)),7/6,1) *
IF(OR(ISNUMBER(SEARCH("Beam",$L239)),ISNUMBER(SEARCH("Firestorm",$L239))),1, IF(ISNUMBER(SEARCH("Blast",$L239)),(4+$F239+(2-$F239)*0.5)/6*2,(4+$F239)/6)) *
IF(ISNUMBER(SEARCH("Fusion",$L239)), _xlfn.IFS(Z$24-$I239 &lt;=1, 9/10, Z$24-$I239 &lt;=10,(11-(Z$24-$I239))/10, Z$24-$I239 &gt;=11, 0),
_xlfn.IFS(Z$24-$I239 &lt;=1, 5/6, Z$24-$I239 &lt;=5, (7-(Z$24-$I239))/6, AND(Z$24-$I239 =6,NOT(_xlfn.IFNA(ISNUMBER(SEARCH("Rending",$L239)),FALSE))), (7-(Z$24-$I239))/6, AND(Z$24-$I239 &gt;=7,NOT(_xlfn.IFNA(ISNUMBER(SEARCH("Rending",$L239)),FALSE))), 0, Z$24-$I239 =7, (7-(Z$24-1-$I239))/6, Z$24-$I239 =8, (7-(Z$24-2-$I239))/6*2/3, Z$24-$I239 =9, (7-(Z$24-3-$I239))/6*1/3, TRUE, 0)) *
IF(ISNUMBER(SEARCH("Ordinance",$L239)),7/6,1) *
IF(OR(ISNUMBER(SEARCH("Melee",$L239)),ISNUMBER(SEARCH("Bypass",$L239))),1.5,1)</f>
        <v>0</v>
      </c>
      <c r="AA239" s="17" cm="1">
        <f t="array" ref="AA239">$H239 *
IF(ISNUMBER(SEARCH("Rapid",$L239)),7/6,1) *
IF(OR(ISNUMBER(SEARCH("Beam",$L239)),ISNUMBER(SEARCH("Firestorm",$L239))),1, IF(ISNUMBER(SEARCH("Blast",$L239)),(4+$F239+(2-$F239)*0.5)/6*2,(4+$F239)/6)) *
IF(ISNUMBER(SEARCH("Fusion",$L239)), _xlfn.IFS(AA$24-$I239 &lt;=1, 9/10, AA$24-$I239 &lt;=10,(11-(AA$24-$I239))/10, AA$24-$I239 &gt;=11, 0),
_xlfn.IFS(AA$24-$I239 &lt;=1, 5/6, AA$24-$I239 &lt;=5, (7-(AA$24-$I239))/6, AND(AA$24-$I239 =6,NOT(_xlfn.IFNA(ISNUMBER(SEARCH("Rending",$L239)),FALSE))), (7-(AA$24-$I239))/6, AND(AA$24-$I239 &gt;=7,NOT(_xlfn.IFNA(ISNUMBER(SEARCH("Rending",$L239)),FALSE))), 0, AA$24-$I239 =7, (7-(AA$24-1-$I239))/6, AA$24-$I239 =8, (7-(AA$24-2-$I239))/6*2/3, AA$24-$I239 =9, (7-(AA$24-3-$I239))/6*1/3, TRUE, 0)) *
IF(ISNUMBER(SEARCH("Ordinance",$L239)),7/6,1) *
IF(OR(ISNUMBER(SEARCH("Melee",$L239)),ISNUMBER(SEARCH("Bypass",$L239))),1.5,1)</f>
        <v>0</v>
      </c>
      <c r="AB239" s="17" cm="1">
        <f t="array" ref="AB239">$H239 *
IF(ISNUMBER(SEARCH("Rapid",$L239)),7/6,1) *
IF(OR(ISNUMBER(SEARCH("Beam",$L239)),ISNUMBER(SEARCH("Firestorm",$L239))),1, IF(ISNUMBER(SEARCH("Blast",$L239)),(4+$F239+(2-$F239)*0.5)/6*2,(4+$F239)/6)) *
IF(ISNUMBER(SEARCH("Fusion",$L239)), _xlfn.IFS(AB$24-$I239 &lt;=1, 9/10, AB$24-$I239 &lt;=10,(11-(AB$24-$I239))/10, AB$24-$I239 &gt;=11, 0),
_xlfn.IFS(AB$24-$I239 &lt;=1, 5/6, AB$24-$I239 &lt;=5, (7-(AB$24-$I239))/6, AND(AB$24-$I239 =6,NOT(_xlfn.IFNA(ISNUMBER(SEARCH("Rending",$L239)),FALSE))), (7-(AB$24-$I239))/6, AND(AB$24-$I239 &gt;=7,NOT(_xlfn.IFNA(ISNUMBER(SEARCH("Rending",$L239)),FALSE))), 0, AB$24-$I239 =7, (7-(AB$24-1-$I239))/6, AB$24-$I239 =8, (7-(AB$24-2-$I239))/6*2/3, AB$24-$I239 =9, (7-(AB$24-3-$I239))/6*1/3, TRUE, 0)) *
IF(ISNUMBER(SEARCH("Ordinance",$L239)),7/6,1) *
IF(OR(ISNUMBER(SEARCH("Melee",$L239)),ISNUMBER(SEARCH("Bypass",$L239))),1.5,1)</f>
        <v>0</v>
      </c>
      <c r="AC239" s="17" cm="1">
        <f t="array" ref="AC239">$H239 *
IF(ISNUMBER(SEARCH("Rapid",$L239)),7/6,1) *
IF(OR(ISNUMBER(SEARCH("Beam",$L239)),ISNUMBER(SEARCH("Firestorm",$L239))),1, IF(ISNUMBER(SEARCH("Blast",$L239)),(4+$F239+(2-$F239)*0.5)/6*2,(4+$F239)/6)) *
IF(ISNUMBER(SEARCH("Fusion",$L239)), _xlfn.IFS(AC$24-$I239 &lt;=1, 9/10, AC$24-$I239 &lt;=10,(11-(AC$24-$I239))/10, AC$24-$I239 &gt;=11, 0),
_xlfn.IFS(AC$24-$I239 &lt;=1, 5/6, AC$24-$I239 &lt;=5, (7-(AC$24-$I239))/6, AND(AC$24-$I239 =6,NOT(_xlfn.IFNA(ISNUMBER(SEARCH("Rending",$L239)),FALSE))), (7-(AC$24-$I239))/6, AND(AC$24-$I239 &gt;=7,NOT(_xlfn.IFNA(ISNUMBER(SEARCH("Rending",$L239)),FALSE))), 0, AC$24-$I239 =7, (7-(AC$24-1-$I239))/6, AC$24-$I239 =8, (7-(AC$24-2-$I239))/6*2/3, AC$24-$I239 =9, (7-(AC$24-3-$I239))/6*1/3, TRUE, 0)) *
IF(ISNUMBER(SEARCH("Ordinance",$L239)),7/6,1) *
IF(OR(ISNUMBER(SEARCH("Melee",$L239)),ISNUMBER(SEARCH("Bypass",$L239))),1.5,1)</f>
        <v>0</v>
      </c>
      <c r="AD239" s="17" cm="1">
        <f t="array" ref="AD239">$H239 *
IF(ISNUMBER(SEARCH("Rapid",$L239)),7/6,1) *
IF(OR(ISNUMBER(SEARCH("Beam",$L239)),ISNUMBER(SEARCH("Firestorm",$L239))),1, IF(ISNUMBER(SEARCH("Blast",$L239)),(4+$F239+(2-$F239)*0.5)/6*2,(4+$F239)/6)) *
IF(ISNUMBER(SEARCH("Fusion",$L239)), _xlfn.IFS(AD$24-$I239 &lt;=1, 9/10, AD$24-$I239 &lt;=10,(11-(AD$24-$I239))/10, AD$24-$I239 &gt;=11, 0),
_xlfn.IFS(AD$24-$I239 &lt;=1, 5/6, AD$24-$I239 &lt;=5, (7-(AD$24-$I239))/6, AND(AD$24-$I239 =6,NOT(_xlfn.IFNA(ISNUMBER(SEARCH("Rending",$L239)),FALSE))), (7-(AD$24-$I239))/6, AND(AD$24-$I239 &gt;=7,NOT(_xlfn.IFNA(ISNUMBER(SEARCH("Rending",$L239)),FALSE))), 0, AD$24-$I239 =7, (7-(AD$24-1-$I239))/6, AD$24-$I239 =8, (7-(AD$24-2-$I239))/6*2/3, AD$24-$I239 =9, (7-(AD$24-3-$I239))/6*1/3, TRUE, 0)) *
IF(ISNUMBER(SEARCH("Ordinance",$L239)),7/6,1) *
IF(OR(ISNUMBER(SEARCH("Melee",$L239)),ISNUMBER(SEARCH("Bypass",$L239))),1.5,1)</f>
        <v>0</v>
      </c>
      <c r="AE239" s="17" cm="1">
        <f t="array" ref="AE239">$H239 *
IF(ISNUMBER(SEARCH("Rapid",$L239)),7/6,1) *
IF(OR(ISNUMBER(SEARCH("Beam",$L239)),ISNUMBER(SEARCH("Firestorm",$L239))),1, IF(ISNUMBER(SEARCH("Blast",$L239)),(4+$F239+(2-$F239)*0.5)/6*2,(4+$F239)/6)) *
IF(ISNUMBER(SEARCH("Fusion",$L239)), _xlfn.IFS(AE$24-$I239 &lt;=1, 9/10, AE$24-$I239 &lt;=10,(11-(AE$24-$I239))/10, AE$24-$I239 &gt;=11, 0),
_xlfn.IFS(AE$24-$I239 &lt;=1, 5/6, AE$24-$I239 &lt;=5, (7-(AE$24-$I239))/6, AND(AE$24-$I239 =6,NOT(_xlfn.IFNA(ISNUMBER(SEARCH("Rending",$L239)),FALSE))), (7-(AE$24-$I239))/6, AND(AE$24-$I239 &gt;=7,NOT(_xlfn.IFNA(ISNUMBER(SEARCH("Rending",$L239)),FALSE))), 0, AE$24-$I239 =7, (7-(AE$24-1-$I239))/6, AE$24-$I239 =8, (7-(AE$24-2-$I239))/6*2/3, AE$24-$I239 =9, (7-(AE$24-3-$I239))/6*1/3, TRUE, 0)) *
IF(ISNUMBER(SEARCH("Ordinance",$L239)),7/6,1) *
IF(OR(ISNUMBER(SEARCH("Melee",$L239)),ISNUMBER(SEARCH("Bypass",$L239))),1.5,1)</f>
        <v>0</v>
      </c>
      <c r="AF239" s="17" cm="1">
        <f t="array" ref="AF239">$H239 *
IF(ISNUMBER(SEARCH("Rapid",$L239)),7/6,1) *
IF(OR(ISNUMBER(SEARCH("Beam",$L239)),ISNUMBER(SEARCH("Firestorm",$L239))),1, IF(ISNUMBER(SEARCH("Blast",$L239)),(4+$F239+(2-$F239)*0.5)/6*2,(4+$F239)/6)) *
IF(ISNUMBER(SEARCH("Fusion",$L239)), _xlfn.IFS(AF$24-$I239 &lt;=1, 9/10, AF$24-$I239 &lt;=10,(11-(AF$24-$I239))/10, AF$24-$I239 &gt;=11, 0),
_xlfn.IFS(AF$24-$I239 &lt;=1, 5/6, AF$24-$I239 &lt;=5, (7-(AF$24-$I239))/6, AND(AF$24-$I239 =6,NOT(_xlfn.IFNA(ISNUMBER(SEARCH("Rending",$L239)),FALSE))), (7-(AF$24-$I239))/6, AND(AF$24-$I239 &gt;=7,NOT(_xlfn.IFNA(ISNUMBER(SEARCH("Rending",$L239)),FALSE))), 0, AF$24-$I239 =7, (7-(AF$24-1-$I239))/6, AF$24-$I239 =8, (7-(AF$24-2-$I239))/6*2/3, AF$24-$I239 =9, (7-(AF$24-3-$I239))/6*1/3, TRUE, 0)) *
IF(ISNUMBER(SEARCH("Ordinance",$L239)),7/6,1) *
IF(OR(ISNUMBER(SEARCH("Melee",$L239)),ISNUMBER(SEARCH("Bypass",$L239))),1.5,1)</f>
        <v>0</v>
      </c>
      <c r="AG239" s="16">
        <f t="shared" si="67"/>
        <v>0</v>
      </c>
      <c r="AH239" s="16">
        <f t="shared" si="68"/>
        <v>0</v>
      </c>
      <c r="AI239" s="17" cm="1">
        <f t="array" ref="AI239">$H239 *
IF(ISNUMBER(SEARCH("Rapid",$L239)),7/6,1) *
IF(OR(ISNUMBER(SEARCH("Beam",$L239)),ISNUMBER(SEARCH("Firestorm",$L239))),1, IF(ISNUMBER(SEARCH("Blast",$L239)),(4+$G239+(2-$G239)*0.5)/6*2,(4+$G239)/6)) *
_xlfn.IFS(AI$24-$I239 &lt;=1, 5/6, AI$24-$I239 &lt;=5, (7-(AI$24-$I239))/6, AND(AI$24-$I239 =6,NOT(_xlfn.IFNA(ISNUMBER(SEARCH("Rending",$L239)),FALSE))), (7-(AI$24-$I239))/6, AND(AI$24-$I239 &gt;=7,NOT(_xlfn.IFNA(ISNUMBER(SEARCH("Rending",$L239)),FALSE))), 0, AI$24-$I239 =7, (7-(AI$24-1-$I239))/6, AI$24-$I239 =8, (7-(AI$24-2-$I239))/6*2/3, AI$24-$I239 =9, (7-(AI$24-3-$I239))/6*1/3, TRUE, 0) *
IF(ISNUMBER(SEARCH("Ordinance",$L239)),7/6,1) *
IF(OR(ISNUMBER(SEARCH("Melee",$L239)),ISNUMBER(SEARCH("Bypass",$L239))),1.5,1)</f>
        <v>0</v>
      </c>
      <c r="AJ239" s="17" cm="1">
        <f t="array" ref="AJ239">$H239 *
IF(ISNUMBER(SEARCH("Rapid",$L239)),7/6,1) *
IF(OR(ISNUMBER(SEARCH("Beam",$L239)),ISNUMBER(SEARCH("Firestorm",$L239))),1, IF(ISNUMBER(SEARCH("Blast",$L239)),(4+$G239+(2-$G239)*0.5)/6*2,(4+$G239)/6)) *
_xlfn.IFS(AJ$24-$I239 &lt;=1, 5/6, AJ$24-$I239 &lt;=5, (7-(AJ$24-$I239))/6, AND(AJ$24-$I239 =6,NOT(_xlfn.IFNA(ISNUMBER(SEARCH("Rending",$L239)),FALSE))), (7-(AJ$24-$I239))/6, AND(AJ$24-$I239 &gt;=7,NOT(_xlfn.IFNA(ISNUMBER(SEARCH("Rending",$L239)),FALSE))), 0, AJ$24-$I239 =7, (7-(AJ$24-1-$I239))/6, AJ$24-$I239 =8, (7-(AJ$24-2-$I239))/6*2/3, AJ$24-$I239 =9, (7-(AJ$24-3-$I239))/6*1/3, TRUE, 0) *
IF(ISNUMBER(SEARCH("Ordinance",$L239)),7/6,1) *
IF(OR(ISNUMBER(SEARCH("Melee",$L239)),ISNUMBER(SEARCH("Bypass",$L239))),1.5,1)</f>
        <v>0</v>
      </c>
      <c r="AK239" s="17" cm="1">
        <f t="array" ref="AK239">$H239 *
IF(ISNUMBER(SEARCH("Rapid",$L239)),7/6,1) *
IF(OR(ISNUMBER(SEARCH("Beam",$L239)),ISNUMBER(SEARCH("Firestorm",$L239))),1, IF(ISNUMBER(SEARCH("Blast",$L239)),(4+$G239+(2-$G239)*0.5)/6*2,(4+$G239)/6)) *
_xlfn.IFS(AK$24-$I239 &lt;=1, 5/6, AK$24-$I239 &lt;=5, (7-(AK$24-$I239))/6, AND(AK$24-$I239 =6,NOT(_xlfn.IFNA(ISNUMBER(SEARCH("Rending",$L239)),FALSE))), (7-(AK$24-$I239))/6, AND(AK$24-$I239 &gt;=7,NOT(_xlfn.IFNA(ISNUMBER(SEARCH("Rending",$L239)),FALSE))), 0, AK$24-$I239 =7, (7-(AK$24-1-$I239))/6, AK$24-$I239 =8, (7-(AK$24-2-$I239))/6*2/3, AK$24-$I239 =9, (7-(AK$24-3-$I239))/6*1/3, TRUE, 0) *
IF(ISNUMBER(SEARCH("Ordinance",$L239)),7/6,1) *
IF(OR(ISNUMBER(SEARCH("Melee",$L239)),ISNUMBER(SEARCH("Bypass",$L239))),1.5,1)</f>
        <v>0</v>
      </c>
      <c r="AL239" s="17" cm="1">
        <f t="array" ref="AL239">$H239 *
IF(ISNUMBER(SEARCH("Rapid",$L239)),7/6,1) *
IF(OR(ISNUMBER(SEARCH("Beam",$L239)),ISNUMBER(SEARCH("Firestorm",$L239))),1, IF(ISNUMBER(SEARCH("Blast",$L239)),(4+$G239+(2-$G239)*0.5)/6*2,(4+$G239)/6)) *
_xlfn.IFS(AL$24-$I239 &lt;=1, 5/6, AL$24-$I239 &lt;=5, (7-(AL$24-$I239))/6, AND(AL$24-$I239 =6,NOT(_xlfn.IFNA(ISNUMBER(SEARCH("Rending",$L239)),FALSE))), (7-(AL$24-$I239))/6, AND(AL$24-$I239 &gt;=7,NOT(_xlfn.IFNA(ISNUMBER(SEARCH("Rending",$L239)),FALSE))), 0, AL$24-$I239 =7, (7-(AL$24-1-$I239))/6, AL$24-$I239 =8, (7-(AL$24-2-$I239))/6*2/3, AL$24-$I239 =9, (7-(AL$24-3-$I239))/6*1/3, TRUE, 0) *
IF(ISNUMBER(SEARCH("Ordinance",$L239)),7/6,1) *
IF(OR(ISNUMBER(SEARCH("Melee",$L239)),ISNUMBER(SEARCH("Bypass",$L239))),1.5,1)</f>
        <v>0</v>
      </c>
      <c r="AM239" s="17" cm="1">
        <f t="array" ref="AM239">$H239 *
IF(ISNUMBER(SEARCH("Rapid",$L239)),7/6,1) *
IF(OR(ISNUMBER(SEARCH("Beam",$L239)),ISNUMBER(SEARCH("Firestorm",$L239))),1, IF(ISNUMBER(SEARCH("Blast",$L239)),(4+$G239+(2-$G239)*0.5)/6*2,(4+$G239)/6)) *
_xlfn.IFS(AM$24-$I239 &lt;=1, 5/6, AM$24-$I239 &lt;=5, (7-(AM$24-$I239))/6, AND(AM$24-$I239 =6,NOT(_xlfn.IFNA(ISNUMBER(SEARCH("Rending",$L239)),FALSE))), (7-(AM$24-$I239))/6, AND(AM$24-$I239 &gt;=7,NOT(_xlfn.IFNA(ISNUMBER(SEARCH("Rending",$L239)),FALSE))), 0, AM$24-$I239 =7, (7-(AM$24-1-$I239))/6, AM$24-$I239 =8, (7-(AM$24-2-$I239))/6*2/3, AM$24-$I239 =9, (7-(AM$24-3-$I239))/6*1/3, TRUE, 0) *
IF(ISNUMBER(SEARCH("Ordinance",$L239)),7/6,1) *
IF(OR(ISNUMBER(SEARCH("Melee",$L239)),ISNUMBER(SEARCH("Bypass",$L239))),1.5,1)</f>
        <v>0</v>
      </c>
      <c r="AN239" s="17" cm="1">
        <f t="array" ref="AN239">$H239 *
IF(ISNUMBER(SEARCH("Rapid",$L239)),7/6,1) *
IF(OR(ISNUMBER(SEARCH("Beam",$L239)),ISNUMBER(SEARCH("Firestorm",$L239))),1, IF(ISNUMBER(SEARCH("Blast",$L239)),(4+$G239+(2-$G239)*0.5)/6*2,(4+$G239)/6)) *
_xlfn.IFS(AN$24-$I239 &lt;=1, 5/6, AN$24-$I239 &lt;=5, (7-(AN$24-$I239))/6, AND(AN$24-$I239 =6,NOT(_xlfn.IFNA(ISNUMBER(SEARCH("Rending",$L239)),FALSE))), (7-(AN$24-$I239))/6, AND(AN$24-$I239 &gt;=7,NOT(_xlfn.IFNA(ISNUMBER(SEARCH("Rending",$L239)),FALSE))), 0, AN$24-$I239 =7, (7-(AN$24-1-$I239))/6, AN$24-$I239 =8, (7-(AN$24-2-$I239))/6*2/3, AN$24-$I239 =9, (7-(AN$24-3-$I239))/6*1/3, TRUE, 0) *
IF(ISNUMBER(SEARCH("Ordinance",$L239)),7/6,1) *
IF(OR(ISNUMBER(SEARCH("Melee",$L239)),ISNUMBER(SEARCH("Bypass",$L239))),1.5,1)</f>
        <v>0</v>
      </c>
      <c r="AO239" s="17" cm="1">
        <f t="array" ref="AO239">$H239 *
IF(ISNUMBER(SEARCH("Rapid",$L239)),7/6,1) *
IF(OR(ISNUMBER(SEARCH("Beam",$L239)),ISNUMBER(SEARCH("Firestorm",$L239))),1, IF(ISNUMBER(SEARCH("Blast",$L239)),(4+$G239+(2-$G239)*0.5)/6*2,(4+$G239)/6)) *
_xlfn.IFS(AO$24-$I239 &lt;=1, 5/6, AO$24-$I239 &lt;=5, (7-(AO$24-$I239))/6, AND(AO$24-$I239 =6,NOT(_xlfn.IFNA(ISNUMBER(SEARCH("Rending",$L239)),FALSE))), (7-(AO$24-$I239))/6, AND(AO$24-$I239 &gt;=7,NOT(_xlfn.IFNA(ISNUMBER(SEARCH("Rending",$L239)),FALSE))), 0, AO$24-$I239 =7, (7-(AO$24-1-$I239))/6, AO$24-$I239 =8, (7-(AO$24-2-$I239))/6*2/3, AO$24-$I239 =9, (7-(AO$24-3-$I239))/6*1/3, TRUE, 0) *
IF(ISNUMBER(SEARCH("Ordinance",$L239)),7/6,1) *
IF(OR(ISNUMBER(SEARCH("Melee",$L239)),ISNUMBER(SEARCH("Bypass",$L239))),1.5,1)</f>
        <v>0</v>
      </c>
      <c r="AP239" s="17" cm="1">
        <f t="array" ref="AP239">$H239 *
IF(ISNUMBER(SEARCH("Rapid",$L239)),7/6,1) *
IF(OR(ISNUMBER(SEARCH("Beam",$L239)),ISNUMBER(SEARCH("Firestorm",$L239))),1, IF(ISNUMBER(SEARCH("Blast",$L239)),(4+$G239+(2-$G239)*0.5)/6*2,(4+$G239)/6)) *
_xlfn.IFS(AP$24-$I239 &lt;=1, 5/6, AP$24-$I239 &lt;=5, (7-(AP$24-$I239))/6, AND(AP$24-$I239 =6,NOT(_xlfn.IFNA(ISNUMBER(SEARCH("Rending",$L239)),FALSE))), (7-(AP$24-$I239))/6, AND(AP$24-$I239 &gt;=7,NOT(_xlfn.IFNA(ISNUMBER(SEARCH("Rending",$L239)),FALSE))), 0, AP$24-$I239 =7, (7-(AP$24-1-$I239))/6, AP$24-$I239 =8, (7-(AP$24-2-$I239))/6*2/3, AP$24-$I239 =9, (7-(AP$24-3-$I239))/6*1/3, TRUE, 0) *
IF(ISNUMBER(SEARCH("Ordinance",$L239)),7/6,1) *
IF(OR(ISNUMBER(SEARCH("Melee",$L239)),ISNUMBER(SEARCH("Bypass",$L239))),1.5,1)</f>
        <v>0</v>
      </c>
      <c r="AQ239" s="17" cm="1">
        <f t="array" ref="AQ239">$H239 *
IF(ISNUMBER(SEARCH("Rapid",$L239)),7/6,1) *
IF(OR(ISNUMBER(SEARCH("Beam",$L239)),ISNUMBER(SEARCH("Firestorm",$L239))),1, IF(ISNUMBER(SEARCH("Blast",$L239)),(4+$G239+(2-$G239)*0.5)/6*2,(4+$G239)/6)) *
_xlfn.IFS(AQ$24-$I239 &lt;=1, 5/6, AQ$24-$I239 &lt;=5, (7-(AQ$24-$I239))/6, AND(AQ$24-$I239 =6,NOT(_xlfn.IFNA(ISNUMBER(SEARCH("Rending",$L239)),FALSE))), (7-(AQ$24-$I239))/6, AND(AQ$24-$I239 &gt;=7,NOT(_xlfn.IFNA(ISNUMBER(SEARCH("Rending",$L239)),FALSE))), 0, AQ$24-$I239 =7, (7-(AQ$24-1-$I239))/6, AQ$24-$I239 =8, (7-(AQ$24-2-$I239))/6*2/3, AQ$24-$I239 =9, (7-(AQ$24-3-$I239))/6*1/3, TRUE, 0) *
IF(ISNUMBER(SEARCH("Ordinance",$L239)),7/6,1) *
IF(OR(ISNUMBER(SEARCH("Melee",$L239)),ISNUMBER(SEARCH("Bypass",$L239))),1.5,1)</f>
        <v>0</v>
      </c>
      <c r="AS239" s="16">
        <f t="shared" si="72"/>
        <v>0</v>
      </c>
      <c r="AT239" s="16">
        <f t="shared" si="73"/>
        <v>0</v>
      </c>
      <c r="AU239" s="16">
        <f t="shared" si="74"/>
        <v>0</v>
      </c>
      <c r="AV239" s="2">
        <v>11</v>
      </c>
    </row>
    <row r="240" spans="1:48" x14ac:dyDescent="0.3">
      <c r="A240" t="s">
        <v>811</v>
      </c>
      <c r="B240" s="3">
        <v>12</v>
      </c>
      <c r="C240" s="3">
        <v>32</v>
      </c>
      <c r="D240" s="3">
        <v>1</v>
      </c>
      <c r="E240" s="3">
        <v>2</v>
      </c>
      <c r="F240" s="10">
        <v>-1</v>
      </c>
      <c r="G240" s="10"/>
      <c r="H240" s="3">
        <v>1</v>
      </c>
      <c r="I240" s="3">
        <v>9</v>
      </c>
      <c r="J240" s="3" t="s">
        <v>810</v>
      </c>
      <c r="K240" s="3">
        <v>5</v>
      </c>
      <c r="L240" s="3" t="s">
        <v>482</v>
      </c>
      <c r="V240" s="16">
        <f t="shared" si="65"/>
        <v>0.16666666666666666</v>
      </c>
      <c r="W240" s="16">
        <f t="shared" si="66"/>
        <v>0.25</v>
      </c>
      <c r="X240" s="17" cm="1">
        <f t="array" ref="X240">$H240 *
IF(ISNUMBER(SEARCH("Rapid",$L240)),7/6,1) *
IF(OR(ISNUMBER(SEARCH("Beam",$L240)),ISNUMBER(SEARCH("Firestorm",$L240))),1, IF(ISNUMBER(SEARCH("Blast",$L240)),(4+$F240+(2-$F240)*0.5)/6*2,(4+$F240)/6)) *
IF(ISNUMBER(SEARCH("Fusion",$L240)), _xlfn.IFS(X$24-$I240 &lt;=1, 9/10, X$24-$I240 &lt;=10,(11-(X$24-$I240))/10, X$24-$I240 &gt;=11, 0),
_xlfn.IFS(X$24-$I240 &lt;=1, 5/6, X$24-$I240 &lt;=5, (7-(X$24-$I240))/6, AND(X$24-$I240 =6,NOT(_xlfn.IFNA(ISNUMBER(SEARCH("Rending",$L240)),FALSE))), (7-(X$24-$I240))/6, AND(X$24-$I240 &gt;=7,NOT(_xlfn.IFNA(ISNUMBER(SEARCH("Rending",$L240)),FALSE))), 0, X$24-$I240 =7, (7-(X$24-1-$I240))/6, X$24-$I240 =8, (7-(X$24-2-$I240))/6*2/3, X$24-$I240 =9, (7-(X$24-3-$I240))/6*1/3, TRUE, 0)) *
IF(ISNUMBER(SEARCH("Ordinance",$L240)),7/6,1) *
IF(OR(ISNUMBER(SEARCH("Melee",$L240)),ISNUMBER(SEARCH("Bypass",$L240))),1.5,1)</f>
        <v>0.41666666666666669</v>
      </c>
      <c r="Y240" s="17" cm="1">
        <f t="array" ref="Y240">$H240 *
IF(ISNUMBER(SEARCH("Rapid",$L240)),7/6,1) *
IF(OR(ISNUMBER(SEARCH("Beam",$L240)),ISNUMBER(SEARCH("Firestorm",$L240))),1, IF(ISNUMBER(SEARCH("Blast",$L240)),(4+$F240+(2-$F240)*0.5)/6*2,(4+$F240)/6)) *
IF(ISNUMBER(SEARCH("Fusion",$L240)), _xlfn.IFS(Y$24-$I240 &lt;=1, 9/10, Y$24-$I240 &lt;=10,(11-(Y$24-$I240))/10, Y$24-$I240 &gt;=11, 0),
_xlfn.IFS(Y$24-$I240 &lt;=1, 5/6, Y$24-$I240 &lt;=5, (7-(Y$24-$I240))/6, AND(Y$24-$I240 =6,NOT(_xlfn.IFNA(ISNUMBER(SEARCH("Rending",$L240)),FALSE))), (7-(Y$24-$I240))/6, AND(Y$24-$I240 &gt;=7,NOT(_xlfn.IFNA(ISNUMBER(SEARCH("Rending",$L240)),FALSE))), 0, Y$24-$I240 =7, (7-(Y$24-1-$I240))/6, Y$24-$I240 =8, (7-(Y$24-2-$I240))/6*2/3, Y$24-$I240 =9, (7-(Y$24-3-$I240))/6*1/3, TRUE, 0)) *
IF(ISNUMBER(SEARCH("Ordinance",$L240)),7/6,1) *
IF(OR(ISNUMBER(SEARCH("Melee",$L240)),ISNUMBER(SEARCH("Bypass",$L240))),1.5,1)</f>
        <v>0.41666666666666669</v>
      </c>
      <c r="Z240" s="17" cm="1">
        <f t="array" ref="Z240">$H240 *
IF(ISNUMBER(SEARCH("Rapid",$L240)),7/6,1) *
IF(OR(ISNUMBER(SEARCH("Beam",$L240)),ISNUMBER(SEARCH("Firestorm",$L240))),1, IF(ISNUMBER(SEARCH("Blast",$L240)),(4+$F240+(2-$F240)*0.5)/6*2,(4+$F240)/6)) *
IF(ISNUMBER(SEARCH("Fusion",$L240)), _xlfn.IFS(Z$24-$I240 &lt;=1, 9/10, Z$24-$I240 &lt;=10,(11-(Z$24-$I240))/10, Z$24-$I240 &gt;=11, 0),
_xlfn.IFS(Z$24-$I240 &lt;=1, 5/6, Z$24-$I240 &lt;=5, (7-(Z$24-$I240))/6, AND(Z$24-$I240 =6,NOT(_xlfn.IFNA(ISNUMBER(SEARCH("Rending",$L240)),FALSE))), (7-(Z$24-$I240))/6, AND(Z$24-$I240 &gt;=7,NOT(_xlfn.IFNA(ISNUMBER(SEARCH("Rending",$L240)),FALSE))), 0, Z$24-$I240 =7, (7-(Z$24-1-$I240))/6, Z$24-$I240 =8, (7-(Z$24-2-$I240))/6*2/3, Z$24-$I240 =9, (7-(Z$24-3-$I240))/6*1/3, TRUE, 0)) *
IF(ISNUMBER(SEARCH("Ordinance",$L240)),7/6,1) *
IF(OR(ISNUMBER(SEARCH("Melee",$L240)),ISNUMBER(SEARCH("Bypass",$L240))),1.5,1)</f>
        <v>0.41666666666666669</v>
      </c>
      <c r="AA240" s="17" cm="1">
        <f t="array" ref="AA240">$H240 *
IF(ISNUMBER(SEARCH("Rapid",$L240)),7/6,1) *
IF(OR(ISNUMBER(SEARCH("Beam",$L240)),ISNUMBER(SEARCH("Firestorm",$L240))),1, IF(ISNUMBER(SEARCH("Blast",$L240)),(4+$F240+(2-$F240)*0.5)/6*2,(4+$F240)/6)) *
IF(ISNUMBER(SEARCH("Fusion",$L240)), _xlfn.IFS(AA$24-$I240 &lt;=1, 9/10, AA$24-$I240 &lt;=10,(11-(AA$24-$I240))/10, AA$24-$I240 &gt;=11, 0),
_xlfn.IFS(AA$24-$I240 &lt;=1, 5/6, AA$24-$I240 &lt;=5, (7-(AA$24-$I240))/6, AND(AA$24-$I240 =6,NOT(_xlfn.IFNA(ISNUMBER(SEARCH("Rending",$L240)),FALSE))), (7-(AA$24-$I240))/6, AND(AA$24-$I240 &gt;=7,NOT(_xlfn.IFNA(ISNUMBER(SEARCH("Rending",$L240)),FALSE))), 0, AA$24-$I240 =7, (7-(AA$24-1-$I240))/6, AA$24-$I240 =8, (7-(AA$24-2-$I240))/6*2/3, AA$24-$I240 =9, (7-(AA$24-3-$I240))/6*1/3, TRUE, 0)) *
IF(ISNUMBER(SEARCH("Ordinance",$L240)),7/6,1) *
IF(OR(ISNUMBER(SEARCH("Melee",$L240)),ISNUMBER(SEARCH("Bypass",$L240))),1.5,1)</f>
        <v>0.33333333333333331</v>
      </c>
      <c r="AB240" s="17" cm="1">
        <f t="array" ref="AB240">$H240 *
IF(ISNUMBER(SEARCH("Rapid",$L240)),7/6,1) *
IF(OR(ISNUMBER(SEARCH("Beam",$L240)),ISNUMBER(SEARCH("Firestorm",$L240))),1, IF(ISNUMBER(SEARCH("Blast",$L240)),(4+$F240+(2-$F240)*0.5)/6*2,(4+$F240)/6)) *
IF(ISNUMBER(SEARCH("Fusion",$L240)), _xlfn.IFS(AB$24-$I240 &lt;=1, 9/10, AB$24-$I240 &lt;=10,(11-(AB$24-$I240))/10, AB$24-$I240 &gt;=11, 0),
_xlfn.IFS(AB$24-$I240 &lt;=1, 5/6, AB$24-$I240 &lt;=5, (7-(AB$24-$I240))/6, AND(AB$24-$I240 =6,NOT(_xlfn.IFNA(ISNUMBER(SEARCH("Rending",$L240)),FALSE))), (7-(AB$24-$I240))/6, AND(AB$24-$I240 &gt;=7,NOT(_xlfn.IFNA(ISNUMBER(SEARCH("Rending",$L240)),FALSE))), 0, AB$24-$I240 =7, (7-(AB$24-1-$I240))/6, AB$24-$I240 =8, (7-(AB$24-2-$I240))/6*2/3, AB$24-$I240 =9, (7-(AB$24-3-$I240))/6*1/3, TRUE, 0)) *
IF(ISNUMBER(SEARCH("Ordinance",$L240)),7/6,1) *
IF(OR(ISNUMBER(SEARCH("Melee",$L240)),ISNUMBER(SEARCH("Bypass",$L240))),1.5,1)</f>
        <v>0.25</v>
      </c>
      <c r="AC240" s="17" cm="1">
        <f t="array" ref="AC240">$H240 *
IF(ISNUMBER(SEARCH("Rapid",$L240)),7/6,1) *
IF(OR(ISNUMBER(SEARCH("Beam",$L240)),ISNUMBER(SEARCH("Firestorm",$L240))),1, IF(ISNUMBER(SEARCH("Blast",$L240)),(4+$F240+(2-$F240)*0.5)/6*2,(4+$F240)/6)) *
IF(ISNUMBER(SEARCH("Fusion",$L240)), _xlfn.IFS(AC$24-$I240 &lt;=1, 9/10, AC$24-$I240 &lt;=10,(11-(AC$24-$I240))/10, AC$24-$I240 &gt;=11, 0),
_xlfn.IFS(AC$24-$I240 &lt;=1, 5/6, AC$24-$I240 &lt;=5, (7-(AC$24-$I240))/6, AND(AC$24-$I240 =6,NOT(_xlfn.IFNA(ISNUMBER(SEARCH("Rending",$L240)),FALSE))), (7-(AC$24-$I240))/6, AND(AC$24-$I240 &gt;=7,NOT(_xlfn.IFNA(ISNUMBER(SEARCH("Rending",$L240)),FALSE))), 0, AC$24-$I240 =7, (7-(AC$24-1-$I240))/6, AC$24-$I240 =8, (7-(AC$24-2-$I240))/6*2/3, AC$24-$I240 =9, (7-(AC$24-3-$I240))/6*1/3, TRUE, 0)) *
IF(ISNUMBER(SEARCH("Ordinance",$L240)),7/6,1) *
IF(OR(ISNUMBER(SEARCH("Melee",$L240)),ISNUMBER(SEARCH("Bypass",$L240))),1.5,1)</f>
        <v>0.16666666666666666</v>
      </c>
      <c r="AD240" s="17" cm="1">
        <f t="array" ref="AD240">$H240 *
IF(ISNUMBER(SEARCH("Rapid",$L240)),7/6,1) *
IF(OR(ISNUMBER(SEARCH("Beam",$L240)),ISNUMBER(SEARCH("Firestorm",$L240))),1, IF(ISNUMBER(SEARCH("Blast",$L240)),(4+$F240+(2-$F240)*0.5)/6*2,(4+$F240)/6)) *
IF(ISNUMBER(SEARCH("Fusion",$L240)), _xlfn.IFS(AD$24-$I240 &lt;=1, 9/10, AD$24-$I240 &lt;=10,(11-(AD$24-$I240))/10, AD$24-$I240 &gt;=11, 0),
_xlfn.IFS(AD$24-$I240 &lt;=1, 5/6, AD$24-$I240 &lt;=5, (7-(AD$24-$I240))/6, AND(AD$24-$I240 =6,NOT(_xlfn.IFNA(ISNUMBER(SEARCH("Rending",$L240)),FALSE))), (7-(AD$24-$I240))/6, AND(AD$24-$I240 &gt;=7,NOT(_xlfn.IFNA(ISNUMBER(SEARCH("Rending",$L240)),FALSE))), 0, AD$24-$I240 =7, (7-(AD$24-1-$I240))/6, AD$24-$I240 =8, (7-(AD$24-2-$I240))/6*2/3, AD$24-$I240 =9, (7-(AD$24-3-$I240))/6*1/3, TRUE, 0)) *
IF(ISNUMBER(SEARCH("Ordinance",$L240)),7/6,1) *
IF(OR(ISNUMBER(SEARCH("Melee",$L240)),ISNUMBER(SEARCH("Bypass",$L240))),1.5,1)</f>
        <v>8.3333333333333329E-2</v>
      </c>
      <c r="AE240" s="17" cm="1">
        <f t="array" ref="AE240">$H240 *
IF(ISNUMBER(SEARCH("Rapid",$L240)),7/6,1) *
IF(OR(ISNUMBER(SEARCH("Beam",$L240)),ISNUMBER(SEARCH("Firestorm",$L240))),1, IF(ISNUMBER(SEARCH("Blast",$L240)),(4+$F240+(2-$F240)*0.5)/6*2,(4+$F240)/6)) *
IF(ISNUMBER(SEARCH("Fusion",$L240)), _xlfn.IFS(AE$24-$I240 &lt;=1, 9/10, AE$24-$I240 &lt;=10,(11-(AE$24-$I240))/10, AE$24-$I240 &gt;=11, 0),
_xlfn.IFS(AE$24-$I240 &lt;=1, 5/6, AE$24-$I240 &lt;=5, (7-(AE$24-$I240))/6, AND(AE$24-$I240 =6,NOT(_xlfn.IFNA(ISNUMBER(SEARCH("Rending",$L240)),FALSE))), (7-(AE$24-$I240))/6, AND(AE$24-$I240 &gt;=7,NOT(_xlfn.IFNA(ISNUMBER(SEARCH("Rending",$L240)),FALSE))), 0, AE$24-$I240 =7, (7-(AE$24-1-$I240))/6, AE$24-$I240 =8, (7-(AE$24-2-$I240))/6*2/3, AE$24-$I240 =9, (7-(AE$24-3-$I240))/6*1/3, TRUE, 0)) *
IF(ISNUMBER(SEARCH("Ordinance",$L240)),7/6,1) *
IF(OR(ISNUMBER(SEARCH("Melee",$L240)),ISNUMBER(SEARCH("Bypass",$L240))),1.5,1)</f>
        <v>0</v>
      </c>
      <c r="AF240" s="17" cm="1">
        <f t="array" ref="AF240">$H240 *
IF(ISNUMBER(SEARCH("Rapid",$L240)),7/6,1) *
IF(OR(ISNUMBER(SEARCH("Beam",$L240)),ISNUMBER(SEARCH("Firestorm",$L240))),1, IF(ISNUMBER(SEARCH("Blast",$L240)),(4+$F240+(2-$F240)*0.5)/6*2,(4+$F240)/6)) *
IF(ISNUMBER(SEARCH("Fusion",$L240)), _xlfn.IFS(AF$24-$I240 &lt;=1, 9/10, AF$24-$I240 &lt;=10,(11-(AF$24-$I240))/10, AF$24-$I240 &gt;=11, 0),
_xlfn.IFS(AF$24-$I240 &lt;=1, 5/6, AF$24-$I240 &lt;=5, (7-(AF$24-$I240))/6, AND(AF$24-$I240 =6,NOT(_xlfn.IFNA(ISNUMBER(SEARCH("Rending",$L240)),FALSE))), (7-(AF$24-$I240))/6, AND(AF$24-$I240 &gt;=7,NOT(_xlfn.IFNA(ISNUMBER(SEARCH("Rending",$L240)),FALSE))), 0, AF$24-$I240 =7, (7-(AF$24-1-$I240))/6, AF$24-$I240 =8, (7-(AF$24-2-$I240))/6*2/3, AF$24-$I240 =9, (7-(AF$24-3-$I240))/6*1/3, TRUE, 0)) *
IF(ISNUMBER(SEARCH("Ordinance",$L240)),7/6,1) *
IF(OR(ISNUMBER(SEARCH("Melee",$L240)),ISNUMBER(SEARCH("Bypass",$L240))),1.5,1)</f>
        <v>0</v>
      </c>
      <c r="AG240" s="16">
        <f t="shared" si="67"/>
        <v>0.22222222222222221</v>
      </c>
      <c r="AH240" s="16">
        <f t="shared" si="68"/>
        <v>0.33333333333333331</v>
      </c>
      <c r="AI240" s="17" cm="1">
        <f t="array" ref="AI240">$H240 *
IF(ISNUMBER(SEARCH("Rapid",$L240)),7/6,1) *
IF(OR(ISNUMBER(SEARCH("Beam",$L240)),ISNUMBER(SEARCH("Firestorm",$L240))),1, IF(ISNUMBER(SEARCH("Blast",$L240)),(4+$G240+(2-$G240)*0.5)/6*2,(4+$G240)/6)) *
_xlfn.IFS(AI$24-$I240 &lt;=1, 5/6, AI$24-$I240 &lt;=5, (7-(AI$24-$I240))/6, AND(AI$24-$I240 =6,NOT(_xlfn.IFNA(ISNUMBER(SEARCH("Rending",$L240)),FALSE))), (7-(AI$24-$I240))/6, AND(AI$24-$I240 &gt;=7,NOT(_xlfn.IFNA(ISNUMBER(SEARCH("Rending",$L240)),FALSE))), 0, AI$24-$I240 =7, (7-(AI$24-1-$I240))/6, AI$24-$I240 =8, (7-(AI$24-2-$I240))/6*2/3, AI$24-$I240 =9, (7-(AI$24-3-$I240))/6*1/3, TRUE, 0) *
IF(ISNUMBER(SEARCH("Ordinance",$L240)),7/6,1) *
IF(OR(ISNUMBER(SEARCH("Melee",$L240)),ISNUMBER(SEARCH("Bypass",$L240))),1.5,1)</f>
        <v>0.55555555555555558</v>
      </c>
      <c r="AJ240" s="17" cm="1">
        <f t="array" ref="AJ240">$H240 *
IF(ISNUMBER(SEARCH("Rapid",$L240)),7/6,1) *
IF(OR(ISNUMBER(SEARCH("Beam",$L240)),ISNUMBER(SEARCH("Firestorm",$L240))),1, IF(ISNUMBER(SEARCH("Blast",$L240)),(4+$G240+(2-$G240)*0.5)/6*2,(4+$G240)/6)) *
_xlfn.IFS(AJ$24-$I240 &lt;=1, 5/6, AJ$24-$I240 &lt;=5, (7-(AJ$24-$I240))/6, AND(AJ$24-$I240 =6,NOT(_xlfn.IFNA(ISNUMBER(SEARCH("Rending",$L240)),FALSE))), (7-(AJ$24-$I240))/6, AND(AJ$24-$I240 &gt;=7,NOT(_xlfn.IFNA(ISNUMBER(SEARCH("Rending",$L240)),FALSE))), 0, AJ$24-$I240 =7, (7-(AJ$24-1-$I240))/6, AJ$24-$I240 =8, (7-(AJ$24-2-$I240))/6*2/3, AJ$24-$I240 =9, (7-(AJ$24-3-$I240))/6*1/3, TRUE, 0) *
IF(ISNUMBER(SEARCH("Ordinance",$L240)),7/6,1) *
IF(OR(ISNUMBER(SEARCH("Melee",$L240)),ISNUMBER(SEARCH("Bypass",$L240))),1.5,1)</f>
        <v>0.55555555555555558</v>
      </c>
      <c r="AK240" s="17" cm="1">
        <f t="array" ref="AK240">$H240 *
IF(ISNUMBER(SEARCH("Rapid",$L240)),7/6,1) *
IF(OR(ISNUMBER(SEARCH("Beam",$L240)),ISNUMBER(SEARCH("Firestorm",$L240))),1, IF(ISNUMBER(SEARCH("Blast",$L240)),(4+$G240+(2-$G240)*0.5)/6*2,(4+$G240)/6)) *
_xlfn.IFS(AK$24-$I240 &lt;=1, 5/6, AK$24-$I240 &lt;=5, (7-(AK$24-$I240))/6, AND(AK$24-$I240 =6,NOT(_xlfn.IFNA(ISNUMBER(SEARCH("Rending",$L240)),FALSE))), (7-(AK$24-$I240))/6, AND(AK$24-$I240 &gt;=7,NOT(_xlfn.IFNA(ISNUMBER(SEARCH("Rending",$L240)),FALSE))), 0, AK$24-$I240 =7, (7-(AK$24-1-$I240))/6, AK$24-$I240 =8, (7-(AK$24-2-$I240))/6*2/3, AK$24-$I240 =9, (7-(AK$24-3-$I240))/6*1/3, TRUE, 0) *
IF(ISNUMBER(SEARCH("Ordinance",$L240)),7/6,1) *
IF(OR(ISNUMBER(SEARCH("Melee",$L240)),ISNUMBER(SEARCH("Bypass",$L240))),1.5,1)</f>
        <v>0.55555555555555558</v>
      </c>
      <c r="AL240" s="17" cm="1">
        <f t="array" ref="AL240">$H240 *
IF(ISNUMBER(SEARCH("Rapid",$L240)),7/6,1) *
IF(OR(ISNUMBER(SEARCH("Beam",$L240)),ISNUMBER(SEARCH("Firestorm",$L240))),1, IF(ISNUMBER(SEARCH("Blast",$L240)),(4+$G240+(2-$G240)*0.5)/6*2,(4+$G240)/6)) *
_xlfn.IFS(AL$24-$I240 &lt;=1, 5/6, AL$24-$I240 &lt;=5, (7-(AL$24-$I240))/6, AND(AL$24-$I240 =6,NOT(_xlfn.IFNA(ISNUMBER(SEARCH("Rending",$L240)),FALSE))), (7-(AL$24-$I240))/6, AND(AL$24-$I240 &gt;=7,NOT(_xlfn.IFNA(ISNUMBER(SEARCH("Rending",$L240)),FALSE))), 0, AL$24-$I240 =7, (7-(AL$24-1-$I240))/6, AL$24-$I240 =8, (7-(AL$24-2-$I240))/6*2/3, AL$24-$I240 =9, (7-(AL$24-3-$I240))/6*1/3, TRUE, 0) *
IF(ISNUMBER(SEARCH("Ordinance",$L240)),7/6,1) *
IF(OR(ISNUMBER(SEARCH("Melee",$L240)),ISNUMBER(SEARCH("Bypass",$L240))),1.5,1)</f>
        <v>0.44444444444444442</v>
      </c>
      <c r="AM240" s="17" cm="1">
        <f t="array" ref="AM240">$H240 *
IF(ISNUMBER(SEARCH("Rapid",$L240)),7/6,1) *
IF(OR(ISNUMBER(SEARCH("Beam",$L240)),ISNUMBER(SEARCH("Firestorm",$L240))),1, IF(ISNUMBER(SEARCH("Blast",$L240)),(4+$G240+(2-$G240)*0.5)/6*2,(4+$G240)/6)) *
_xlfn.IFS(AM$24-$I240 &lt;=1, 5/6, AM$24-$I240 &lt;=5, (7-(AM$24-$I240))/6, AND(AM$24-$I240 =6,NOT(_xlfn.IFNA(ISNUMBER(SEARCH("Rending",$L240)),FALSE))), (7-(AM$24-$I240))/6, AND(AM$24-$I240 &gt;=7,NOT(_xlfn.IFNA(ISNUMBER(SEARCH("Rending",$L240)),FALSE))), 0, AM$24-$I240 =7, (7-(AM$24-1-$I240))/6, AM$24-$I240 =8, (7-(AM$24-2-$I240))/6*2/3, AM$24-$I240 =9, (7-(AM$24-3-$I240))/6*1/3, TRUE, 0) *
IF(ISNUMBER(SEARCH("Ordinance",$L240)),7/6,1) *
IF(OR(ISNUMBER(SEARCH("Melee",$L240)),ISNUMBER(SEARCH("Bypass",$L240))),1.5,1)</f>
        <v>0.33333333333333331</v>
      </c>
      <c r="AN240" s="17" cm="1">
        <f t="array" ref="AN240">$H240 *
IF(ISNUMBER(SEARCH("Rapid",$L240)),7/6,1) *
IF(OR(ISNUMBER(SEARCH("Beam",$L240)),ISNUMBER(SEARCH("Firestorm",$L240))),1, IF(ISNUMBER(SEARCH("Blast",$L240)),(4+$G240+(2-$G240)*0.5)/6*2,(4+$G240)/6)) *
_xlfn.IFS(AN$24-$I240 &lt;=1, 5/6, AN$24-$I240 &lt;=5, (7-(AN$24-$I240))/6, AND(AN$24-$I240 =6,NOT(_xlfn.IFNA(ISNUMBER(SEARCH("Rending",$L240)),FALSE))), (7-(AN$24-$I240))/6, AND(AN$24-$I240 &gt;=7,NOT(_xlfn.IFNA(ISNUMBER(SEARCH("Rending",$L240)),FALSE))), 0, AN$24-$I240 =7, (7-(AN$24-1-$I240))/6, AN$24-$I240 =8, (7-(AN$24-2-$I240))/6*2/3, AN$24-$I240 =9, (7-(AN$24-3-$I240))/6*1/3, TRUE, 0) *
IF(ISNUMBER(SEARCH("Ordinance",$L240)),7/6,1) *
IF(OR(ISNUMBER(SEARCH("Melee",$L240)),ISNUMBER(SEARCH("Bypass",$L240))),1.5,1)</f>
        <v>0.22222222222222221</v>
      </c>
      <c r="AO240" s="17" cm="1">
        <f t="array" ref="AO240">$H240 *
IF(ISNUMBER(SEARCH("Rapid",$L240)),7/6,1) *
IF(OR(ISNUMBER(SEARCH("Beam",$L240)),ISNUMBER(SEARCH("Firestorm",$L240))),1, IF(ISNUMBER(SEARCH("Blast",$L240)),(4+$G240+(2-$G240)*0.5)/6*2,(4+$G240)/6)) *
_xlfn.IFS(AO$24-$I240 &lt;=1, 5/6, AO$24-$I240 &lt;=5, (7-(AO$24-$I240))/6, AND(AO$24-$I240 =6,NOT(_xlfn.IFNA(ISNUMBER(SEARCH("Rending",$L240)),FALSE))), (7-(AO$24-$I240))/6, AND(AO$24-$I240 &gt;=7,NOT(_xlfn.IFNA(ISNUMBER(SEARCH("Rending",$L240)),FALSE))), 0, AO$24-$I240 =7, (7-(AO$24-1-$I240))/6, AO$24-$I240 =8, (7-(AO$24-2-$I240))/6*2/3, AO$24-$I240 =9, (7-(AO$24-3-$I240))/6*1/3, TRUE, 0) *
IF(ISNUMBER(SEARCH("Ordinance",$L240)),7/6,1) *
IF(OR(ISNUMBER(SEARCH("Melee",$L240)),ISNUMBER(SEARCH("Bypass",$L240))),1.5,1)</f>
        <v>0.1111111111111111</v>
      </c>
      <c r="AP240" s="17" cm="1">
        <f t="array" ref="AP240">$H240 *
IF(ISNUMBER(SEARCH("Rapid",$L240)),7/6,1) *
IF(OR(ISNUMBER(SEARCH("Beam",$L240)),ISNUMBER(SEARCH("Firestorm",$L240))),1, IF(ISNUMBER(SEARCH("Blast",$L240)),(4+$G240+(2-$G240)*0.5)/6*2,(4+$G240)/6)) *
_xlfn.IFS(AP$24-$I240 &lt;=1, 5/6, AP$24-$I240 &lt;=5, (7-(AP$24-$I240))/6, AND(AP$24-$I240 =6,NOT(_xlfn.IFNA(ISNUMBER(SEARCH("Rending",$L240)),FALSE))), (7-(AP$24-$I240))/6, AND(AP$24-$I240 &gt;=7,NOT(_xlfn.IFNA(ISNUMBER(SEARCH("Rending",$L240)),FALSE))), 0, AP$24-$I240 =7, (7-(AP$24-1-$I240))/6, AP$24-$I240 =8, (7-(AP$24-2-$I240))/6*2/3, AP$24-$I240 =9, (7-(AP$24-3-$I240))/6*1/3, TRUE, 0) *
IF(ISNUMBER(SEARCH("Ordinance",$L240)),7/6,1) *
IF(OR(ISNUMBER(SEARCH("Melee",$L240)),ISNUMBER(SEARCH("Bypass",$L240))),1.5,1)</f>
        <v>0</v>
      </c>
      <c r="AQ240" s="17" cm="1">
        <f t="array" ref="AQ240">$H240 *
IF(ISNUMBER(SEARCH("Rapid",$L240)),7/6,1) *
IF(OR(ISNUMBER(SEARCH("Beam",$L240)),ISNUMBER(SEARCH("Firestorm",$L240))),1, IF(ISNUMBER(SEARCH("Blast",$L240)),(4+$G240+(2-$G240)*0.5)/6*2,(4+$G240)/6)) *
_xlfn.IFS(AQ$24-$I240 &lt;=1, 5/6, AQ$24-$I240 &lt;=5, (7-(AQ$24-$I240))/6, AND(AQ$24-$I240 =6,NOT(_xlfn.IFNA(ISNUMBER(SEARCH("Rending",$L240)),FALSE))), (7-(AQ$24-$I240))/6, AND(AQ$24-$I240 &gt;=7,NOT(_xlfn.IFNA(ISNUMBER(SEARCH("Rending",$L240)),FALSE))), 0, AQ$24-$I240 =7, (7-(AQ$24-1-$I240))/6, AQ$24-$I240 =8, (7-(AQ$24-2-$I240))/6*2/3, AQ$24-$I240 =9, (7-(AQ$24-3-$I240))/6*1/3, TRUE, 0) *
IF(ISNUMBER(SEARCH("Ordinance",$L240)),7/6,1) *
IF(OR(ISNUMBER(SEARCH("Melee",$L240)),ISNUMBER(SEARCH("Bypass",$L240))),1.5,1)</f>
        <v>0</v>
      </c>
      <c r="AS240" s="16">
        <f t="shared" si="72"/>
        <v>0.14814814814814814</v>
      </c>
      <c r="AT240" s="16">
        <f t="shared" si="73"/>
        <v>0.22222222222222221</v>
      </c>
      <c r="AU240" s="16">
        <f t="shared" si="74"/>
        <v>0.43055555555555558</v>
      </c>
      <c r="AV240" s="2">
        <v>11</v>
      </c>
    </row>
    <row r="241" spans="1:48" x14ac:dyDescent="0.3">
      <c r="A241" t="s">
        <v>737</v>
      </c>
      <c r="B241" s="3">
        <v>16</v>
      </c>
      <c r="C241" s="3">
        <v>48</v>
      </c>
      <c r="D241" s="3">
        <v>1</v>
      </c>
      <c r="E241" s="3">
        <v>2</v>
      </c>
      <c r="F241" s="10">
        <v>-1</v>
      </c>
      <c r="G241" s="10"/>
      <c r="H241" s="3">
        <v>2</v>
      </c>
      <c r="I241" s="3">
        <v>10</v>
      </c>
      <c r="K241" s="3">
        <v>15</v>
      </c>
      <c r="L241" s="3" t="s">
        <v>482</v>
      </c>
      <c r="V241" s="16">
        <f t="shared" si="65"/>
        <v>0.33333333333333331</v>
      </c>
      <c r="W241" s="16">
        <f t="shared" si="66"/>
        <v>0.5</v>
      </c>
      <c r="X241" s="17" cm="1">
        <f t="array" ref="X241">$H241 *
IF(ISNUMBER(SEARCH("Rapid",$L241)),7/6,1) *
IF(OR(ISNUMBER(SEARCH("Beam",$L241)),ISNUMBER(SEARCH("Firestorm",$L241))),1, IF(ISNUMBER(SEARCH("Blast",$L241)),(4+$F241+(2-$F241)*0.5)/6*2,(4+$F241)/6)) *
IF(ISNUMBER(SEARCH("Fusion",$L241)), _xlfn.IFS(X$24-$I241 &lt;=1, 9/10, X$24-$I241 &lt;=10,(11-(X$24-$I241))/10, X$24-$I241 &gt;=11, 0),
_xlfn.IFS(X$24-$I241 &lt;=1, 5/6, X$24-$I241 &lt;=5, (7-(X$24-$I241))/6, AND(X$24-$I241 =6,NOT(_xlfn.IFNA(ISNUMBER(SEARCH("Rending",$L241)),FALSE))), (7-(X$24-$I241))/6, AND(X$24-$I241 &gt;=7,NOT(_xlfn.IFNA(ISNUMBER(SEARCH("Rending",$L241)),FALSE))), 0, X$24-$I241 =7, (7-(X$24-1-$I241))/6, X$24-$I241 =8, (7-(X$24-2-$I241))/6*2/3, X$24-$I241 =9, (7-(X$24-3-$I241))/6*1/3, TRUE, 0)) *
IF(ISNUMBER(SEARCH("Ordinance",$L241)),7/6,1) *
IF(OR(ISNUMBER(SEARCH("Melee",$L241)),ISNUMBER(SEARCH("Bypass",$L241))),1.5,1)</f>
        <v>0.83333333333333337</v>
      </c>
      <c r="Y241" s="17" cm="1">
        <f t="array" ref="Y241">$H241 *
IF(ISNUMBER(SEARCH("Rapid",$L241)),7/6,1) *
IF(OR(ISNUMBER(SEARCH("Beam",$L241)),ISNUMBER(SEARCH("Firestorm",$L241))),1, IF(ISNUMBER(SEARCH("Blast",$L241)),(4+$F241+(2-$F241)*0.5)/6*2,(4+$F241)/6)) *
IF(ISNUMBER(SEARCH("Fusion",$L241)), _xlfn.IFS(Y$24-$I241 &lt;=1, 9/10, Y$24-$I241 &lt;=10,(11-(Y$24-$I241))/10, Y$24-$I241 &gt;=11, 0),
_xlfn.IFS(Y$24-$I241 &lt;=1, 5/6, Y$24-$I241 &lt;=5, (7-(Y$24-$I241))/6, AND(Y$24-$I241 =6,NOT(_xlfn.IFNA(ISNUMBER(SEARCH("Rending",$L241)),FALSE))), (7-(Y$24-$I241))/6, AND(Y$24-$I241 &gt;=7,NOT(_xlfn.IFNA(ISNUMBER(SEARCH("Rending",$L241)),FALSE))), 0, Y$24-$I241 =7, (7-(Y$24-1-$I241))/6, Y$24-$I241 =8, (7-(Y$24-2-$I241))/6*2/3, Y$24-$I241 =9, (7-(Y$24-3-$I241))/6*1/3, TRUE, 0)) *
IF(ISNUMBER(SEARCH("Ordinance",$L241)),7/6,1) *
IF(OR(ISNUMBER(SEARCH("Melee",$L241)),ISNUMBER(SEARCH("Bypass",$L241))),1.5,1)</f>
        <v>0.83333333333333337</v>
      </c>
      <c r="Z241" s="17" cm="1">
        <f t="array" ref="Z241">$H241 *
IF(ISNUMBER(SEARCH("Rapid",$L241)),7/6,1) *
IF(OR(ISNUMBER(SEARCH("Beam",$L241)),ISNUMBER(SEARCH("Firestorm",$L241))),1, IF(ISNUMBER(SEARCH("Blast",$L241)),(4+$F241+(2-$F241)*0.5)/6*2,(4+$F241)/6)) *
IF(ISNUMBER(SEARCH("Fusion",$L241)), _xlfn.IFS(Z$24-$I241 &lt;=1, 9/10, Z$24-$I241 &lt;=10,(11-(Z$24-$I241))/10, Z$24-$I241 &gt;=11, 0),
_xlfn.IFS(Z$24-$I241 &lt;=1, 5/6, Z$24-$I241 &lt;=5, (7-(Z$24-$I241))/6, AND(Z$24-$I241 =6,NOT(_xlfn.IFNA(ISNUMBER(SEARCH("Rending",$L241)),FALSE))), (7-(Z$24-$I241))/6, AND(Z$24-$I241 &gt;=7,NOT(_xlfn.IFNA(ISNUMBER(SEARCH("Rending",$L241)),FALSE))), 0, Z$24-$I241 =7, (7-(Z$24-1-$I241))/6, Z$24-$I241 =8, (7-(Z$24-2-$I241))/6*2/3, Z$24-$I241 =9, (7-(Z$24-3-$I241))/6*1/3, TRUE, 0)) *
IF(ISNUMBER(SEARCH("Ordinance",$L241)),7/6,1) *
IF(OR(ISNUMBER(SEARCH("Melee",$L241)),ISNUMBER(SEARCH("Bypass",$L241))),1.5,1)</f>
        <v>0.83333333333333337</v>
      </c>
      <c r="AA241" s="17" cm="1">
        <f t="array" ref="AA241">$H241 *
IF(ISNUMBER(SEARCH("Rapid",$L241)),7/6,1) *
IF(OR(ISNUMBER(SEARCH("Beam",$L241)),ISNUMBER(SEARCH("Firestorm",$L241))),1, IF(ISNUMBER(SEARCH("Blast",$L241)),(4+$F241+(2-$F241)*0.5)/6*2,(4+$F241)/6)) *
IF(ISNUMBER(SEARCH("Fusion",$L241)), _xlfn.IFS(AA$24-$I241 &lt;=1, 9/10, AA$24-$I241 &lt;=10,(11-(AA$24-$I241))/10, AA$24-$I241 &gt;=11, 0),
_xlfn.IFS(AA$24-$I241 &lt;=1, 5/6, AA$24-$I241 &lt;=5, (7-(AA$24-$I241))/6, AND(AA$24-$I241 =6,NOT(_xlfn.IFNA(ISNUMBER(SEARCH("Rending",$L241)),FALSE))), (7-(AA$24-$I241))/6, AND(AA$24-$I241 &gt;=7,NOT(_xlfn.IFNA(ISNUMBER(SEARCH("Rending",$L241)),FALSE))), 0, AA$24-$I241 =7, (7-(AA$24-1-$I241))/6, AA$24-$I241 =8, (7-(AA$24-2-$I241))/6*2/3, AA$24-$I241 =9, (7-(AA$24-3-$I241))/6*1/3, TRUE, 0)) *
IF(ISNUMBER(SEARCH("Ordinance",$L241)),7/6,1) *
IF(OR(ISNUMBER(SEARCH("Melee",$L241)),ISNUMBER(SEARCH("Bypass",$L241))),1.5,1)</f>
        <v>0.83333333333333337</v>
      </c>
      <c r="AB241" s="17" cm="1">
        <f t="array" ref="AB241">$H241 *
IF(ISNUMBER(SEARCH("Rapid",$L241)),7/6,1) *
IF(OR(ISNUMBER(SEARCH("Beam",$L241)),ISNUMBER(SEARCH("Firestorm",$L241))),1, IF(ISNUMBER(SEARCH("Blast",$L241)),(4+$F241+(2-$F241)*0.5)/6*2,(4+$F241)/6)) *
IF(ISNUMBER(SEARCH("Fusion",$L241)), _xlfn.IFS(AB$24-$I241 &lt;=1, 9/10, AB$24-$I241 &lt;=10,(11-(AB$24-$I241))/10, AB$24-$I241 &gt;=11, 0),
_xlfn.IFS(AB$24-$I241 &lt;=1, 5/6, AB$24-$I241 &lt;=5, (7-(AB$24-$I241))/6, AND(AB$24-$I241 =6,NOT(_xlfn.IFNA(ISNUMBER(SEARCH("Rending",$L241)),FALSE))), (7-(AB$24-$I241))/6, AND(AB$24-$I241 &gt;=7,NOT(_xlfn.IFNA(ISNUMBER(SEARCH("Rending",$L241)),FALSE))), 0, AB$24-$I241 =7, (7-(AB$24-1-$I241))/6, AB$24-$I241 =8, (7-(AB$24-2-$I241))/6*2/3, AB$24-$I241 =9, (7-(AB$24-3-$I241))/6*1/3, TRUE, 0)) *
IF(ISNUMBER(SEARCH("Ordinance",$L241)),7/6,1) *
IF(OR(ISNUMBER(SEARCH("Melee",$L241)),ISNUMBER(SEARCH("Bypass",$L241))),1.5,1)</f>
        <v>0.66666666666666663</v>
      </c>
      <c r="AC241" s="17" cm="1">
        <f t="array" ref="AC241">$H241 *
IF(ISNUMBER(SEARCH("Rapid",$L241)),7/6,1) *
IF(OR(ISNUMBER(SEARCH("Beam",$L241)),ISNUMBER(SEARCH("Firestorm",$L241))),1, IF(ISNUMBER(SEARCH("Blast",$L241)),(4+$F241+(2-$F241)*0.5)/6*2,(4+$F241)/6)) *
IF(ISNUMBER(SEARCH("Fusion",$L241)), _xlfn.IFS(AC$24-$I241 &lt;=1, 9/10, AC$24-$I241 &lt;=10,(11-(AC$24-$I241))/10, AC$24-$I241 &gt;=11, 0),
_xlfn.IFS(AC$24-$I241 &lt;=1, 5/6, AC$24-$I241 &lt;=5, (7-(AC$24-$I241))/6, AND(AC$24-$I241 =6,NOT(_xlfn.IFNA(ISNUMBER(SEARCH("Rending",$L241)),FALSE))), (7-(AC$24-$I241))/6, AND(AC$24-$I241 &gt;=7,NOT(_xlfn.IFNA(ISNUMBER(SEARCH("Rending",$L241)),FALSE))), 0, AC$24-$I241 =7, (7-(AC$24-1-$I241))/6, AC$24-$I241 =8, (7-(AC$24-2-$I241))/6*2/3, AC$24-$I241 =9, (7-(AC$24-3-$I241))/6*1/3, TRUE, 0)) *
IF(ISNUMBER(SEARCH("Ordinance",$L241)),7/6,1) *
IF(OR(ISNUMBER(SEARCH("Melee",$L241)),ISNUMBER(SEARCH("Bypass",$L241))),1.5,1)</f>
        <v>0.5</v>
      </c>
      <c r="AD241" s="17" cm="1">
        <f t="array" ref="AD241">$H241 *
IF(ISNUMBER(SEARCH("Rapid",$L241)),7/6,1) *
IF(OR(ISNUMBER(SEARCH("Beam",$L241)),ISNUMBER(SEARCH("Firestorm",$L241))),1, IF(ISNUMBER(SEARCH("Blast",$L241)),(4+$F241+(2-$F241)*0.5)/6*2,(4+$F241)/6)) *
IF(ISNUMBER(SEARCH("Fusion",$L241)), _xlfn.IFS(AD$24-$I241 &lt;=1, 9/10, AD$24-$I241 &lt;=10,(11-(AD$24-$I241))/10, AD$24-$I241 &gt;=11, 0),
_xlfn.IFS(AD$24-$I241 &lt;=1, 5/6, AD$24-$I241 &lt;=5, (7-(AD$24-$I241))/6, AND(AD$24-$I241 =6,NOT(_xlfn.IFNA(ISNUMBER(SEARCH("Rending",$L241)),FALSE))), (7-(AD$24-$I241))/6, AND(AD$24-$I241 &gt;=7,NOT(_xlfn.IFNA(ISNUMBER(SEARCH("Rending",$L241)),FALSE))), 0, AD$24-$I241 =7, (7-(AD$24-1-$I241))/6, AD$24-$I241 =8, (7-(AD$24-2-$I241))/6*2/3, AD$24-$I241 =9, (7-(AD$24-3-$I241))/6*1/3, TRUE, 0)) *
IF(ISNUMBER(SEARCH("Ordinance",$L241)),7/6,1) *
IF(OR(ISNUMBER(SEARCH("Melee",$L241)),ISNUMBER(SEARCH("Bypass",$L241))),1.5,1)</f>
        <v>0.33333333333333331</v>
      </c>
      <c r="AE241" s="17" cm="1">
        <f t="array" ref="AE241">$H241 *
IF(ISNUMBER(SEARCH("Rapid",$L241)),7/6,1) *
IF(OR(ISNUMBER(SEARCH("Beam",$L241)),ISNUMBER(SEARCH("Firestorm",$L241))),1, IF(ISNUMBER(SEARCH("Blast",$L241)),(4+$F241+(2-$F241)*0.5)/6*2,(4+$F241)/6)) *
IF(ISNUMBER(SEARCH("Fusion",$L241)), _xlfn.IFS(AE$24-$I241 &lt;=1, 9/10, AE$24-$I241 &lt;=10,(11-(AE$24-$I241))/10, AE$24-$I241 &gt;=11, 0),
_xlfn.IFS(AE$24-$I241 &lt;=1, 5/6, AE$24-$I241 &lt;=5, (7-(AE$24-$I241))/6, AND(AE$24-$I241 =6,NOT(_xlfn.IFNA(ISNUMBER(SEARCH("Rending",$L241)),FALSE))), (7-(AE$24-$I241))/6, AND(AE$24-$I241 &gt;=7,NOT(_xlfn.IFNA(ISNUMBER(SEARCH("Rending",$L241)),FALSE))), 0, AE$24-$I241 =7, (7-(AE$24-1-$I241))/6, AE$24-$I241 =8, (7-(AE$24-2-$I241))/6*2/3, AE$24-$I241 =9, (7-(AE$24-3-$I241))/6*1/3, TRUE, 0)) *
IF(ISNUMBER(SEARCH("Ordinance",$L241)),7/6,1) *
IF(OR(ISNUMBER(SEARCH("Melee",$L241)),ISNUMBER(SEARCH("Bypass",$L241))),1.5,1)</f>
        <v>0.16666666666666666</v>
      </c>
      <c r="AF241" s="17" cm="1">
        <f t="array" ref="AF241">$H241 *
IF(ISNUMBER(SEARCH("Rapid",$L241)),7/6,1) *
IF(OR(ISNUMBER(SEARCH("Beam",$L241)),ISNUMBER(SEARCH("Firestorm",$L241))),1, IF(ISNUMBER(SEARCH("Blast",$L241)),(4+$F241+(2-$F241)*0.5)/6*2,(4+$F241)/6)) *
IF(ISNUMBER(SEARCH("Fusion",$L241)), _xlfn.IFS(AF$24-$I241 &lt;=1, 9/10, AF$24-$I241 &lt;=10,(11-(AF$24-$I241))/10, AF$24-$I241 &gt;=11, 0),
_xlfn.IFS(AF$24-$I241 &lt;=1, 5/6, AF$24-$I241 &lt;=5, (7-(AF$24-$I241))/6, AND(AF$24-$I241 =6,NOT(_xlfn.IFNA(ISNUMBER(SEARCH("Rending",$L241)),FALSE))), (7-(AF$24-$I241))/6, AND(AF$24-$I241 &gt;=7,NOT(_xlfn.IFNA(ISNUMBER(SEARCH("Rending",$L241)),FALSE))), 0, AF$24-$I241 =7, (7-(AF$24-1-$I241))/6, AF$24-$I241 =8, (7-(AF$24-2-$I241))/6*2/3, AF$24-$I241 =9, (7-(AF$24-3-$I241))/6*1/3, TRUE, 0)) *
IF(ISNUMBER(SEARCH("Ordinance",$L241)),7/6,1) *
IF(OR(ISNUMBER(SEARCH("Melee",$L241)),ISNUMBER(SEARCH("Bypass",$L241))),1.5,1)</f>
        <v>0</v>
      </c>
      <c r="AG241" s="16">
        <f t="shared" si="67"/>
        <v>0.44444444444444442</v>
      </c>
      <c r="AH241" s="16">
        <f t="shared" si="68"/>
        <v>0.66666666666666663</v>
      </c>
      <c r="AI241" s="17" cm="1">
        <f t="array" ref="AI241">$H241 *
IF(ISNUMBER(SEARCH("Rapid",$L241)),7/6,1) *
IF(OR(ISNUMBER(SEARCH("Beam",$L241)),ISNUMBER(SEARCH("Firestorm",$L241))),1, IF(ISNUMBER(SEARCH("Blast",$L241)),(4+$G241+(2-$G241)*0.5)/6*2,(4+$G241)/6)) *
_xlfn.IFS(AI$24-$I241 &lt;=1, 5/6, AI$24-$I241 &lt;=5, (7-(AI$24-$I241))/6, AND(AI$24-$I241 =6,NOT(_xlfn.IFNA(ISNUMBER(SEARCH("Rending",$L241)),FALSE))), (7-(AI$24-$I241))/6, AND(AI$24-$I241 &gt;=7,NOT(_xlfn.IFNA(ISNUMBER(SEARCH("Rending",$L241)),FALSE))), 0, AI$24-$I241 =7, (7-(AI$24-1-$I241))/6, AI$24-$I241 =8, (7-(AI$24-2-$I241))/6*2/3, AI$24-$I241 =9, (7-(AI$24-3-$I241))/6*1/3, TRUE, 0) *
IF(ISNUMBER(SEARCH("Ordinance",$L241)),7/6,1) *
IF(OR(ISNUMBER(SEARCH("Melee",$L241)),ISNUMBER(SEARCH("Bypass",$L241))),1.5,1)</f>
        <v>1.1111111111111112</v>
      </c>
      <c r="AJ241" s="17" cm="1">
        <f t="array" ref="AJ241">$H241 *
IF(ISNUMBER(SEARCH("Rapid",$L241)),7/6,1) *
IF(OR(ISNUMBER(SEARCH("Beam",$L241)),ISNUMBER(SEARCH("Firestorm",$L241))),1, IF(ISNUMBER(SEARCH("Blast",$L241)),(4+$G241+(2-$G241)*0.5)/6*2,(4+$G241)/6)) *
_xlfn.IFS(AJ$24-$I241 &lt;=1, 5/6, AJ$24-$I241 &lt;=5, (7-(AJ$24-$I241))/6, AND(AJ$24-$I241 =6,NOT(_xlfn.IFNA(ISNUMBER(SEARCH("Rending",$L241)),FALSE))), (7-(AJ$24-$I241))/6, AND(AJ$24-$I241 &gt;=7,NOT(_xlfn.IFNA(ISNUMBER(SEARCH("Rending",$L241)),FALSE))), 0, AJ$24-$I241 =7, (7-(AJ$24-1-$I241))/6, AJ$24-$I241 =8, (7-(AJ$24-2-$I241))/6*2/3, AJ$24-$I241 =9, (7-(AJ$24-3-$I241))/6*1/3, TRUE, 0) *
IF(ISNUMBER(SEARCH("Ordinance",$L241)),7/6,1) *
IF(OR(ISNUMBER(SEARCH("Melee",$L241)),ISNUMBER(SEARCH("Bypass",$L241))),1.5,1)</f>
        <v>1.1111111111111112</v>
      </c>
      <c r="AK241" s="17" cm="1">
        <f t="array" ref="AK241">$H241 *
IF(ISNUMBER(SEARCH("Rapid",$L241)),7/6,1) *
IF(OR(ISNUMBER(SEARCH("Beam",$L241)),ISNUMBER(SEARCH("Firestorm",$L241))),1, IF(ISNUMBER(SEARCH("Blast",$L241)),(4+$G241+(2-$G241)*0.5)/6*2,(4+$G241)/6)) *
_xlfn.IFS(AK$24-$I241 &lt;=1, 5/6, AK$24-$I241 &lt;=5, (7-(AK$24-$I241))/6, AND(AK$24-$I241 =6,NOT(_xlfn.IFNA(ISNUMBER(SEARCH("Rending",$L241)),FALSE))), (7-(AK$24-$I241))/6, AND(AK$24-$I241 &gt;=7,NOT(_xlfn.IFNA(ISNUMBER(SEARCH("Rending",$L241)),FALSE))), 0, AK$24-$I241 =7, (7-(AK$24-1-$I241))/6, AK$24-$I241 =8, (7-(AK$24-2-$I241))/6*2/3, AK$24-$I241 =9, (7-(AK$24-3-$I241))/6*1/3, TRUE, 0) *
IF(ISNUMBER(SEARCH("Ordinance",$L241)),7/6,1) *
IF(OR(ISNUMBER(SEARCH("Melee",$L241)),ISNUMBER(SEARCH("Bypass",$L241))),1.5,1)</f>
        <v>1.1111111111111112</v>
      </c>
      <c r="AL241" s="17" cm="1">
        <f t="array" ref="AL241">$H241 *
IF(ISNUMBER(SEARCH("Rapid",$L241)),7/6,1) *
IF(OR(ISNUMBER(SEARCH("Beam",$L241)),ISNUMBER(SEARCH("Firestorm",$L241))),1, IF(ISNUMBER(SEARCH("Blast",$L241)),(4+$G241+(2-$G241)*0.5)/6*2,(4+$G241)/6)) *
_xlfn.IFS(AL$24-$I241 &lt;=1, 5/6, AL$24-$I241 &lt;=5, (7-(AL$24-$I241))/6, AND(AL$24-$I241 =6,NOT(_xlfn.IFNA(ISNUMBER(SEARCH("Rending",$L241)),FALSE))), (7-(AL$24-$I241))/6, AND(AL$24-$I241 &gt;=7,NOT(_xlfn.IFNA(ISNUMBER(SEARCH("Rending",$L241)),FALSE))), 0, AL$24-$I241 =7, (7-(AL$24-1-$I241))/6, AL$24-$I241 =8, (7-(AL$24-2-$I241))/6*2/3, AL$24-$I241 =9, (7-(AL$24-3-$I241))/6*1/3, TRUE, 0) *
IF(ISNUMBER(SEARCH("Ordinance",$L241)),7/6,1) *
IF(OR(ISNUMBER(SEARCH("Melee",$L241)),ISNUMBER(SEARCH("Bypass",$L241))),1.5,1)</f>
        <v>1.1111111111111112</v>
      </c>
      <c r="AM241" s="17" cm="1">
        <f t="array" ref="AM241">$H241 *
IF(ISNUMBER(SEARCH("Rapid",$L241)),7/6,1) *
IF(OR(ISNUMBER(SEARCH("Beam",$L241)),ISNUMBER(SEARCH("Firestorm",$L241))),1, IF(ISNUMBER(SEARCH("Blast",$L241)),(4+$G241+(2-$G241)*0.5)/6*2,(4+$G241)/6)) *
_xlfn.IFS(AM$24-$I241 &lt;=1, 5/6, AM$24-$I241 &lt;=5, (7-(AM$24-$I241))/6, AND(AM$24-$I241 =6,NOT(_xlfn.IFNA(ISNUMBER(SEARCH("Rending",$L241)),FALSE))), (7-(AM$24-$I241))/6, AND(AM$24-$I241 &gt;=7,NOT(_xlfn.IFNA(ISNUMBER(SEARCH("Rending",$L241)),FALSE))), 0, AM$24-$I241 =7, (7-(AM$24-1-$I241))/6, AM$24-$I241 =8, (7-(AM$24-2-$I241))/6*2/3, AM$24-$I241 =9, (7-(AM$24-3-$I241))/6*1/3, TRUE, 0) *
IF(ISNUMBER(SEARCH("Ordinance",$L241)),7/6,1) *
IF(OR(ISNUMBER(SEARCH("Melee",$L241)),ISNUMBER(SEARCH("Bypass",$L241))),1.5,1)</f>
        <v>0.88888888888888884</v>
      </c>
      <c r="AN241" s="17" cm="1">
        <f t="array" ref="AN241">$H241 *
IF(ISNUMBER(SEARCH("Rapid",$L241)),7/6,1) *
IF(OR(ISNUMBER(SEARCH("Beam",$L241)),ISNUMBER(SEARCH("Firestorm",$L241))),1, IF(ISNUMBER(SEARCH("Blast",$L241)),(4+$G241+(2-$G241)*0.5)/6*2,(4+$G241)/6)) *
_xlfn.IFS(AN$24-$I241 &lt;=1, 5/6, AN$24-$I241 &lt;=5, (7-(AN$24-$I241))/6, AND(AN$24-$I241 =6,NOT(_xlfn.IFNA(ISNUMBER(SEARCH("Rending",$L241)),FALSE))), (7-(AN$24-$I241))/6, AND(AN$24-$I241 &gt;=7,NOT(_xlfn.IFNA(ISNUMBER(SEARCH("Rending",$L241)),FALSE))), 0, AN$24-$I241 =7, (7-(AN$24-1-$I241))/6, AN$24-$I241 =8, (7-(AN$24-2-$I241))/6*2/3, AN$24-$I241 =9, (7-(AN$24-3-$I241))/6*1/3, TRUE, 0) *
IF(ISNUMBER(SEARCH("Ordinance",$L241)),7/6,1) *
IF(OR(ISNUMBER(SEARCH("Melee",$L241)),ISNUMBER(SEARCH("Bypass",$L241))),1.5,1)</f>
        <v>0.66666666666666663</v>
      </c>
      <c r="AO241" s="17" cm="1">
        <f t="array" ref="AO241">$H241 *
IF(ISNUMBER(SEARCH("Rapid",$L241)),7/6,1) *
IF(OR(ISNUMBER(SEARCH("Beam",$L241)),ISNUMBER(SEARCH("Firestorm",$L241))),1, IF(ISNUMBER(SEARCH("Blast",$L241)),(4+$G241+(2-$G241)*0.5)/6*2,(4+$G241)/6)) *
_xlfn.IFS(AO$24-$I241 &lt;=1, 5/6, AO$24-$I241 &lt;=5, (7-(AO$24-$I241))/6, AND(AO$24-$I241 =6,NOT(_xlfn.IFNA(ISNUMBER(SEARCH("Rending",$L241)),FALSE))), (7-(AO$24-$I241))/6, AND(AO$24-$I241 &gt;=7,NOT(_xlfn.IFNA(ISNUMBER(SEARCH("Rending",$L241)),FALSE))), 0, AO$24-$I241 =7, (7-(AO$24-1-$I241))/6, AO$24-$I241 =8, (7-(AO$24-2-$I241))/6*2/3, AO$24-$I241 =9, (7-(AO$24-3-$I241))/6*1/3, TRUE, 0) *
IF(ISNUMBER(SEARCH("Ordinance",$L241)),7/6,1) *
IF(OR(ISNUMBER(SEARCH("Melee",$L241)),ISNUMBER(SEARCH("Bypass",$L241))),1.5,1)</f>
        <v>0.44444444444444442</v>
      </c>
      <c r="AP241" s="17" cm="1">
        <f t="array" ref="AP241">$H241 *
IF(ISNUMBER(SEARCH("Rapid",$L241)),7/6,1) *
IF(OR(ISNUMBER(SEARCH("Beam",$L241)),ISNUMBER(SEARCH("Firestorm",$L241))),1, IF(ISNUMBER(SEARCH("Blast",$L241)),(4+$G241+(2-$G241)*0.5)/6*2,(4+$G241)/6)) *
_xlfn.IFS(AP$24-$I241 &lt;=1, 5/6, AP$24-$I241 &lt;=5, (7-(AP$24-$I241))/6, AND(AP$24-$I241 =6,NOT(_xlfn.IFNA(ISNUMBER(SEARCH("Rending",$L241)),FALSE))), (7-(AP$24-$I241))/6, AND(AP$24-$I241 &gt;=7,NOT(_xlfn.IFNA(ISNUMBER(SEARCH("Rending",$L241)),FALSE))), 0, AP$24-$I241 =7, (7-(AP$24-1-$I241))/6, AP$24-$I241 =8, (7-(AP$24-2-$I241))/6*2/3, AP$24-$I241 =9, (7-(AP$24-3-$I241))/6*1/3, TRUE, 0) *
IF(ISNUMBER(SEARCH("Ordinance",$L241)),7/6,1) *
IF(OR(ISNUMBER(SEARCH("Melee",$L241)),ISNUMBER(SEARCH("Bypass",$L241))),1.5,1)</f>
        <v>0.22222222222222221</v>
      </c>
      <c r="AQ241" s="17" cm="1">
        <f t="array" ref="AQ241">$H241 *
IF(ISNUMBER(SEARCH("Rapid",$L241)),7/6,1) *
IF(OR(ISNUMBER(SEARCH("Beam",$L241)),ISNUMBER(SEARCH("Firestorm",$L241))),1, IF(ISNUMBER(SEARCH("Blast",$L241)),(4+$G241+(2-$G241)*0.5)/6*2,(4+$G241)/6)) *
_xlfn.IFS(AQ$24-$I241 &lt;=1, 5/6, AQ$24-$I241 &lt;=5, (7-(AQ$24-$I241))/6, AND(AQ$24-$I241 =6,NOT(_xlfn.IFNA(ISNUMBER(SEARCH("Rending",$L241)),FALSE))), (7-(AQ$24-$I241))/6, AND(AQ$24-$I241 &gt;=7,NOT(_xlfn.IFNA(ISNUMBER(SEARCH("Rending",$L241)),FALSE))), 0, AQ$24-$I241 =7, (7-(AQ$24-1-$I241))/6, AQ$24-$I241 =8, (7-(AQ$24-2-$I241))/6*2/3, AQ$24-$I241 =9, (7-(AQ$24-3-$I241))/6*1/3, TRUE, 0) *
IF(ISNUMBER(SEARCH("Ordinance",$L241)),7/6,1) *
IF(OR(ISNUMBER(SEARCH("Melee",$L241)),ISNUMBER(SEARCH("Bypass",$L241))),1.5,1)</f>
        <v>0</v>
      </c>
      <c r="AS241" s="16">
        <f t="shared" si="72"/>
        <v>0.29629629629629628</v>
      </c>
      <c r="AT241" s="16">
        <f t="shared" si="73"/>
        <v>0.44444444444444442</v>
      </c>
      <c r="AU241" s="16">
        <f t="shared" si="74"/>
        <v>0.86111111111111116</v>
      </c>
      <c r="AV241" s="2">
        <v>11</v>
      </c>
    </row>
    <row r="242" spans="1:48" x14ac:dyDescent="0.3">
      <c r="F242" s="10"/>
      <c r="G242" s="10"/>
      <c r="V242" s="16">
        <f t="shared" si="65"/>
        <v>0</v>
      </c>
      <c r="W242" s="16">
        <f t="shared" si="66"/>
        <v>0</v>
      </c>
      <c r="X242" s="17" cm="1">
        <f t="array" ref="X242">$H242 *
IF(ISNUMBER(SEARCH("Rapid",$L242)),7/6,1) *
IF(OR(ISNUMBER(SEARCH("Beam",$L242)),ISNUMBER(SEARCH("Firestorm",$L242))),1, IF(ISNUMBER(SEARCH("Blast",$L242)),(4+$F242+(2-$F242)*0.5)/6*2,(4+$F242)/6)) *
IF(ISNUMBER(SEARCH("Fusion",$L242)), _xlfn.IFS(X$24-$I242 &lt;=1, 9/10, X$24-$I242 &lt;=10,(11-(X$24-$I242))/10, X$24-$I242 &gt;=11, 0),
_xlfn.IFS(X$24-$I242 &lt;=1, 5/6, X$24-$I242 &lt;=5, (7-(X$24-$I242))/6, AND(X$24-$I242 =6,NOT(_xlfn.IFNA(ISNUMBER(SEARCH("Rending",$L242)),FALSE))), (7-(X$24-$I242))/6, AND(X$24-$I242 &gt;=7,NOT(_xlfn.IFNA(ISNUMBER(SEARCH("Rending",$L242)),FALSE))), 0, X$24-$I242 =7, (7-(X$24-1-$I242))/6, X$24-$I242 =8, (7-(X$24-2-$I242))/6*2/3, X$24-$I242 =9, (7-(X$24-3-$I242))/6*1/3, TRUE, 0)) *
IF(ISNUMBER(SEARCH("Ordinance",$L242)),7/6,1) *
IF(OR(ISNUMBER(SEARCH("Melee",$L242)),ISNUMBER(SEARCH("Bypass",$L242))),1.5,1)</f>
        <v>0</v>
      </c>
      <c r="Y242" s="17" cm="1">
        <f t="array" ref="Y242">$H242 *
IF(ISNUMBER(SEARCH("Rapid",$L242)),7/6,1) *
IF(OR(ISNUMBER(SEARCH("Beam",$L242)),ISNUMBER(SEARCH("Firestorm",$L242))),1, IF(ISNUMBER(SEARCH("Blast",$L242)),(4+$F242+(2-$F242)*0.5)/6*2,(4+$F242)/6)) *
IF(ISNUMBER(SEARCH("Fusion",$L242)), _xlfn.IFS(Y$24-$I242 &lt;=1, 9/10, Y$24-$I242 &lt;=10,(11-(Y$24-$I242))/10, Y$24-$I242 &gt;=11, 0),
_xlfn.IFS(Y$24-$I242 &lt;=1, 5/6, Y$24-$I242 &lt;=5, (7-(Y$24-$I242))/6, AND(Y$24-$I242 =6,NOT(_xlfn.IFNA(ISNUMBER(SEARCH("Rending",$L242)),FALSE))), (7-(Y$24-$I242))/6, AND(Y$24-$I242 &gt;=7,NOT(_xlfn.IFNA(ISNUMBER(SEARCH("Rending",$L242)),FALSE))), 0, Y$24-$I242 =7, (7-(Y$24-1-$I242))/6, Y$24-$I242 =8, (7-(Y$24-2-$I242))/6*2/3, Y$24-$I242 =9, (7-(Y$24-3-$I242))/6*1/3, TRUE, 0)) *
IF(ISNUMBER(SEARCH("Ordinance",$L242)),7/6,1) *
IF(OR(ISNUMBER(SEARCH("Melee",$L242)),ISNUMBER(SEARCH("Bypass",$L242))),1.5,1)</f>
        <v>0</v>
      </c>
      <c r="Z242" s="17" cm="1">
        <f t="array" ref="Z242">$H242 *
IF(ISNUMBER(SEARCH("Rapid",$L242)),7/6,1) *
IF(OR(ISNUMBER(SEARCH("Beam",$L242)),ISNUMBER(SEARCH("Firestorm",$L242))),1, IF(ISNUMBER(SEARCH("Blast",$L242)),(4+$F242+(2-$F242)*0.5)/6*2,(4+$F242)/6)) *
IF(ISNUMBER(SEARCH("Fusion",$L242)), _xlfn.IFS(Z$24-$I242 &lt;=1, 9/10, Z$24-$I242 &lt;=10,(11-(Z$24-$I242))/10, Z$24-$I242 &gt;=11, 0),
_xlfn.IFS(Z$24-$I242 &lt;=1, 5/6, Z$24-$I242 &lt;=5, (7-(Z$24-$I242))/6, AND(Z$24-$I242 =6,NOT(_xlfn.IFNA(ISNUMBER(SEARCH("Rending",$L242)),FALSE))), (7-(Z$24-$I242))/6, AND(Z$24-$I242 &gt;=7,NOT(_xlfn.IFNA(ISNUMBER(SEARCH("Rending",$L242)),FALSE))), 0, Z$24-$I242 =7, (7-(Z$24-1-$I242))/6, Z$24-$I242 =8, (7-(Z$24-2-$I242))/6*2/3, Z$24-$I242 =9, (7-(Z$24-3-$I242))/6*1/3, TRUE, 0)) *
IF(ISNUMBER(SEARCH("Ordinance",$L242)),7/6,1) *
IF(OR(ISNUMBER(SEARCH("Melee",$L242)),ISNUMBER(SEARCH("Bypass",$L242))),1.5,1)</f>
        <v>0</v>
      </c>
      <c r="AA242" s="17" cm="1">
        <f t="array" ref="AA242">$H242 *
IF(ISNUMBER(SEARCH("Rapid",$L242)),7/6,1) *
IF(OR(ISNUMBER(SEARCH("Beam",$L242)),ISNUMBER(SEARCH("Firestorm",$L242))),1, IF(ISNUMBER(SEARCH("Blast",$L242)),(4+$F242+(2-$F242)*0.5)/6*2,(4+$F242)/6)) *
IF(ISNUMBER(SEARCH("Fusion",$L242)), _xlfn.IFS(AA$24-$I242 &lt;=1, 9/10, AA$24-$I242 &lt;=10,(11-(AA$24-$I242))/10, AA$24-$I242 &gt;=11, 0),
_xlfn.IFS(AA$24-$I242 &lt;=1, 5/6, AA$24-$I242 &lt;=5, (7-(AA$24-$I242))/6, AND(AA$24-$I242 =6,NOT(_xlfn.IFNA(ISNUMBER(SEARCH("Rending",$L242)),FALSE))), (7-(AA$24-$I242))/6, AND(AA$24-$I242 &gt;=7,NOT(_xlfn.IFNA(ISNUMBER(SEARCH("Rending",$L242)),FALSE))), 0, AA$24-$I242 =7, (7-(AA$24-1-$I242))/6, AA$24-$I242 =8, (7-(AA$24-2-$I242))/6*2/3, AA$24-$I242 =9, (7-(AA$24-3-$I242))/6*1/3, TRUE, 0)) *
IF(ISNUMBER(SEARCH("Ordinance",$L242)),7/6,1) *
IF(OR(ISNUMBER(SEARCH("Melee",$L242)),ISNUMBER(SEARCH("Bypass",$L242))),1.5,1)</f>
        <v>0</v>
      </c>
      <c r="AB242" s="17" cm="1">
        <f t="array" ref="AB242">$H242 *
IF(ISNUMBER(SEARCH("Rapid",$L242)),7/6,1) *
IF(OR(ISNUMBER(SEARCH("Beam",$L242)),ISNUMBER(SEARCH("Firestorm",$L242))),1, IF(ISNUMBER(SEARCH("Blast",$L242)),(4+$F242+(2-$F242)*0.5)/6*2,(4+$F242)/6)) *
IF(ISNUMBER(SEARCH("Fusion",$L242)), _xlfn.IFS(AB$24-$I242 &lt;=1, 9/10, AB$24-$I242 &lt;=10,(11-(AB$24-$I242))/10, AB$24-$I242 &gt;=11, 0),
_xlfn.IFS(AB$24-$I242 &lt;=1, 5/6, AB$24-$I242 &lt;=5, (7-(AB$24-$I242))/6, AND(AB$24-$I242 =6,NOT(_xlfn.IFNA(ISNUMBER(SEARCH("Rending",$L242)),FALSE))), (7-(AB$24-$I242))/6, AND(AB$24-$I242 &gt;=7,NOT(_xlfn.IFNA(ISNUMBER(SEARCH("Rending",$L242)),FALSE))), 0, AB$24-$I242 =7, (7-(AB$24-1-$I242))/6, AB$24-$I242 =8, (7-(AB$24-2-$I242))/6*2/3, AB$24-$I242 =9, (7-(AB$24-3-$I242))/6*1/3, TRUE, 0)) *
IF(ISNUMBER(SEARCH("Ordinance",$L242)),7/6,1) *
IF(OR(ISNUMBER(SEARCH("Melee",$L242)),ISNUMBER(SEARCH("Bypass",$L242))),1.5,1)</f>
        <v>0</v>
      </c>
      <c r="AC242" s="17" cm="1">
        <f t="array" ref="AC242">$H242 *
IF(ISNUMBER(SEARCH("Rapid",$L242)),7/6,1) *
IF(OR(ISNUMBER(SEARCH("Beam",$L242)),ISNUMBER(SEARCH("Firestorm",$L242))),1, IF(ISNUMBER(SEARCH("Blast",$L242)),(4+$F242+(2-$F242)*0.5)/6*2,(4+$F242)/6)) *
IF(ISNUMBER(SEARCH("Fusion",$L242)), _xlfn.IFS(AC$24-$I242 &lt;=1, 9/10, AC$24-$I242 &lt;=10,(11-(AC$24-$I242))/10, AC$24-$I242 &gt;=11, 0),
_xlfn.IFS(AC$24-$I242 &lt;=1, 5/6, AC$24-$I242 &lt;=5, (7-(AC$24-$I242))/6, AND(AC$24-$I242 =6,NOT(_xlfn.IFNA(ISNUMBER(SEARCH("Rending",$L242)),FALSE))), (7-(AC$24-$I242))/6, AND(AC$24-$I242 &gt;=7,NOT(_xlfn.IFNA(ISNUMBER(SEARCH("Rending",$L242)),FALSE))), 0, AC$24-$I242 =7, (7-(AC$24-1-$I242))/6, AC$24-$I242 =8, (7-(AC$24-2-$I242))/6*2/3, AC$24-$I242 =9, (7-(AC$24-3-$I242))/6*1/3, TRUE, 0)) *
IF(ISNUMBER(SEARCH("Ordinance",$L242)),7/6,1) *
IF(OR(ISNUMBER(SEARCH("Melee",$L242)),ISNUMBER(SEARCH("Bypass",$L242))),1.5,1)</f>
        <v>0</v>
      </c>
      <c r="AD242" s="17" cm="1">
        <f t="array" ref="AD242">$H242 *
IF(ISNUMBER(SEARCH("Rapid",$L242)),7/6,1) *
IF(OR(ISNUMBER(SEARCH("Beam",$L242)),ISNUMBER(SEARCH("Firestorm",$L242))),1, IF(ISNUMBER(SEARCH("Blast",$L242)),(4+$F242+(2-$F242)*0.5)/6*2,(4+$F242)/6)) *
IF(ISNUMBER(SEARCH("Fusion",$L242)), _xlfn.IFS(AD$24-$I242 &lt;=1, 9/10, AD$24-$I242 &lt;=10,(11-(AD$24-$I242))/10, AD$24-$I242 &gt;=11, 0),
_xlfn.IFS(AD$24-$I242 &lt;=1, 5/6, AD$24-$I242 &lt;=5, (7-(AD$24-$I242))/6, AND(AD$24-$I242 =6,NOT(_xlfn.IFNA(ISNUMBER(SEARCH("Rending",$L242)),FALSE))), (7-(AD$24-$I242))/6, AND(AD$24-$I242 &gt;=7,NOT(_xlfn.IFNA(ISNUMBER(SEARCH("Rending",$L242)),FALSE))), 0, AD$24-$I242 =7, (7-(AD$24-1-$I242))/6, AD$24-$I242 =8, (7-(AD$24-2-$I242))/6*2/3, AD$24-$I242 =9, (7-(AD$24-3-$I242))/6*1/3, TRUE, 0)) *
IF(ISNUMBER(SEARCH("Ordinance",$L242)),7/6,1) *
IF(OR(ISNUMBER(SEARCH("Melee",$L242)),ISNUMBER(SEARCH("Bypass",$L242))),1.5,1)</f>
        <v>0</v>
      </c>
      <c r="AE242" s="17" cm="1">
        <f t="array" ref="AE242">$H242 *
IF(ISNUMBER(SEARCH("Rapid",$L242)),7/6,1) *
IF(OR(ISNUMBER(SEARCH("Beam",$L242)),ISNUMBER(SEARCH("Firestorm",$L242))),1, IF(ISNUMBER(SEARCH("Blast",$L242)),(4+$F242+(2-$F242)*0.5)/6*2,(4+$F242)/6)) *
IF(ISNUMBER(SEARCH("Fusion",$L242)), _xlfn.IFS(AE$24-$I242 &lt;=1, 9/10, AE$24-$I242 &lt;=10,(11-(AE$24-$I242))/10, AE$24-$I242 &gt;=11, 0),
_xlfn.IFS(AE$24-$I242 &lt;=1, 5/6, AE$24-$I242 &lt;=5, (7-(AE$24-$I242))/6, AND(AE$24-$I242 =6,NOT(_xlfn.IFNA(ISNUMBER(SEARCH("Rending",$L242)),FALSE))), (7-(AE$24-$I242))/6, AND(AE$24-$I242 &gt;=7,NOT(_xlfn.IFNA(ISNUMBER(SEARCH("Rending",$L242)),FALSE))), 0, AE$24-$I242 =7, (7-(AE$24-1-$I242))/6, AE$24-$I242 =8, (7-(AE$24-2-$I242))/6*2/3, AE$24-$I242 =9, (7-(AE$24-3-$I242))/6*1/3, TRUE, 0)) *
IF(ISNUMBER(SEARCH("Ordinance",$L242)),7/6,1) *
IF(OR(ISNUMBER(SEARCH("Melee",$L242)),ISNUMBER(SEARCH("Bypass",$L242))),1.5,1)</f>
        <v>0</v>
      </c>
      <c r="AF242" s="17" cm="1">
        <f t="array" ref="AF242">$H242 *
IF(ISNUMBER(SEARCH("Rapid",$L242)),7/6,1) *
IF(OR(ISNUMBER(SEARCH("Beam",$L242)),ISNUMBER(SEARCH("Firestorm",$L242))),1, IF(ISNUMBER(SEARCH("Blast",$L242)),(4+$F242+(2-$F242)*0.5)/6*2,(4+$F242)/6)) *
IF(ISNUMBER(SEARCH("Fusion",$L242)), _xlfn.IFS(AF$24-$I242 &lt;=1, 9/10, AF$24-$I242 &lt;=10,(11-(AF$24-$I242))/10, AF$24-$I242 &gt;=11, 0),
_xlfn.IFS(AF$24-$I242 &lt;=1, 5/6, AF$24-$I242 &lt;=5, (7-(AF$24-$I242))/6, AND(AF$24-$I242 =6,NOT(_xlfn.IFNA(ISNUMBER(SEARCH("Rending",$L242)),FALSE))), (7-(AF$24-$I242))/6, AND(AF$24-$I242 &gt;=7,NOT(_xlfn.IFNA(ISNUMBER(SEARCH("Rending",$L242)),FALSE))), 0, AF$24-$I242 =7, (7-(AF$24-1-$I242))/6, AF$24-$I242 =8, (7-(AF$24-2-$I242))/6*2/3, AF$24-$I242 =9, (7-(AF$24-3-$I242))/6*1/3, TRUE, 0)) *
IF(ISNUMBER(SEARCH("Ordinance",$L242)),7/6,1) *
IF(OR(ISNUMBER(SEARCH("Melee",$L242)),ISNUMBER(SEARCH("Bypass",$L242))),1.5,1)</f>
        <v>0</v>
      </c>
      <c r="AG242" s="16">
        <f t="shared" si="67"/>
        <v>0</v>
      </c>
      <c r="AH242" s="16">
        <f t="shared" si="68"/>
        <v>0</v>
      </c>
      <c r="AI242" s="17" cm="1">
        <f t="array" ref="AI242">$H242 *
IF(ISNUMBER(SEARCH("Rapid",$L242)),7/6,1) *
IF(OR(ISNUMBER(SEARCH("Beam",$L242)),ISNUMBER(SEARCH("Firestorm",$L242))),1, IF(ISNUMBER(SEARCH("Blast",$L242)),(4+$G242+(2-$G242)*0.5)/6*2,(4+$G242)/6)) *
_xlfn.IFS(AI$24-$I242 &lt;=1, 5/6, AI$24-$I242 &lt;=5, (7-(AI$24-$I242))/6, AND(AI$24-$I242 =6,NOT(_xlfn.IFNA(ISNUMBER(SEARCH("Rending",$L242)),FALSE))), (7-(AI$24-$I242))/6, AND(AI$24-$I242 &gt;=7,NOT(_xlfn.IFNA(ISNUMBER(SEARCH("Rending",$L242)),FALSE))), 0, AI$24-$I242 =7, (7-(AI$24-1-$I242))/6, AI$24-$I242 =8, (7-(AI$24-2-$I242))/6*2/3, AI$24-$I242 =9, (7-(AI$24-3-$I242))/6*1/3, TRUE, 0) *
IF(ISNUMBER(SEARCH("Ordinance",$L242)),7/6,1) *
IF(OR(ISNUMBER(SEARCH("Melee",$L242)),ISNUMBER(SEARCH("Bypass",$L242))),1.5,1)</f>
        <v>0</v>
      </c>
      <c r="AJ242" s="17" cm="1">
        <f t="array" ref="AJ242">$H242 *
IF(ISNUMBER(SEARCH("Rapid",$L242)),7/6,1) *
IF(OR(ISNUMBER(SEARCH("Beam",$L242)),ISNUMBER(SEARCH("Firestorm",$L242))),1, IF(ISNUMBER(SEARCH("Blast",$L242)),(4+$G242+(2-$G242)*0.5)/6*2,(4+$G242)/6)) *
_xlfn.IFS(AJ$24-$I242 &lt;=1, 5/6, AJ$24-$I242 &lt;=5, (7-(AJ$24-$I242))/6, AND(AJ$24-$I242 =6,NOT(_xlfn.IFNA(ISNUMBER(SEARCH("Rending",$L242)),FALSE))), (7-(AJ$24-$I242))/6, AND(AJ$24-$I242 &gt;=7,NOT(_xlfn.IFNA(ISNUMBER(SEARCH("Rending",$L242)),FALSE))), 0, AJ$24-$I242 =7, (7-(AJ$24-1-$I242))/6, AJ$24-$I242 =8, (7-(AJ$24-2-$I242))/6*2/3, AJ$24-$I242 =9, (7-(AJ$24-3-$I242))/6*1/3, TRUE, 0) *
IF(ISNUMBER(SEARCH("Ordinance",$L242)),7/6,1) *
IF(OR(ISNUMBER(SEARCH("Melee",$L242)),ISNUMBER(SEARCH("Bypass",$L242))),1.5,1)</f>
        <v>0</v>
      </c>
      <c r="AK242" s="17" cm="1">
        <f t="array" ref="AK242">$H242 *
IF(ISNUMBER(SEARCH("Rapid",$L242)),7/6,1) *
IF(OR(ISNUMBER(SEARCH("Beam",$L242)),ISNUMBER(SEARCH("Firestorm",$L242))),1, IF(ISNUMBER(SEARCH("Blast",$L242)),(4+$G242+(2-$G242)*0.5)/6*2,(4+$G242)/6)) *
_xlfn.IFS(AK$24-$I242 &lt;=1, 5/6, AK$24-$I242 &lt;=5, (7-(AK$24-$I242))/6, AND(AK$24-$I242 =6,NOT(_xlfn.IFNA(ISNUMBER(SEARCH("Rending",$L242)),FALSE))), (7-(AK$24-$I242))/6, AND(AK$24-$I242 &gt;=7,NOT(_xlfn.IFNA(ISNUMBER(SEARCH("Rending",$L242)),FALSE))), 0, AK$24-$I242 =7, (7-(AK$24-1-$I242))/6, AK$24-$I242 =8, (7-(AK$24-2-$I242))/6*2/3, AK$24-$I242 =9, (7-(AK$24-3-$I242))/6*1/3, TRUE, 0) *
IF(ISNUMBER(SEARCH("Ordinance",$L242)),7/6,1) *
IF(OR(ISNUMBER(SEARCH("Melee",$L242)),ISNUMBER(SEARCH("Bypass",$L242))),1.5,1)</f>
        <v>0</v>
      </c>
      <c r="AL242" s="17" cm="1">
        <f t="array" ref="AL242">$H242 *
IF(ISNUMBER(SEARCH("Rapid",$L242)),7/6,1) *
IF(OR(ISNUMBER(SEARCH("Beam",$L242)),ISNUMBER(SEARCH("Firestorm",$L242))),1, IF(ISNUMBER(SEARCH("Blast",$L242)),(4+$G242+(2-$G242)*0.5)/6*2,(4+$G242)/6)) *
_xlfn.IFS(AL$24-$I242 &lt;=1, 5/6, AL$24-$I242 &lt;=5, (7-(AL$24-$I242))/6, AND(AL$24-$I242 =6,NOT(_xlfn.IFNA(ISNUMBER(SEARCH("Rending",$L242)),FALSE))), (7-(AL$24-$I242))/6, AND(AL$24-$I242 &gt;=7,NOT(_xlfn.IFNA(ISNUMBER(SEARCH("Rending",$L242)),FALSE))), 0, AL$24-$I242 =7, (7-(AL$24-1-$I242))/6, AL$24-$I242 =8, (7-(AL$24-2-$I242))/6*2/3, AL$24-$I242 =9, (7-(AL$24-3-$I242))/6*1/3, TRUE, 0) *
IF(ISNUMBER(SEARCH("Ordinance",$L242)),7/6,1) *
IF(OR(ISNUMBER(SEARCH("Melee",$L242)),ISNUMBER(SEARCH("Bypass",$L242))),1.5,1)</f>
        <v>0</v>
      </c>
      <c r="AM242" s="17" cm="1">
        <f t="array" ref="AM242">$H242 *
IF(ISNUMBER(SEARCH("Rapid",$L242)),7/6,1) *
IF(OR(ISNUMBER(SEARCH("Beam",$L242)),ISNUMBER(SEARCH("Firestorm",$L242))),1, IF(ISNUMBER(SEARCH("Blast",$L242)),(4+$G242+(2-$G242)*0.5)/6*2,(4+$G242)/6)) *
_xlfn.IFS(AM$24-$I242 &lt;=1, 5/6, AM$24-$I242 &lt;=5, (7-(AM$24-$I242))/6, AND(AM$24-$I242 =6,NOT(_xlfn.IFNA(ISNUMBER(SEARCH("Rending",$L242)),FALSE))), (7-(AM$24-$I242))/6, AND(AM$24-$I242 &gt;=7,NOT(_xlfn.IFNA(ISNUMBER(SEARCH("Rending",$L242)),FALSE))), 0, AM$24-$I242 =7, (7-(AM$24-1-$I242))/6, AM$24-$I242 =8, (7-(AM$24-2-$I242))/6*2/3, AM$24-$I242 =9, (7-(AM$24-3-$I242))/6*1/3, TRUE, 0) *
IF(ISNUMBER(SEARCH("Ordinance",$L242)),7/6,1) *
IF(OR(ISNUMBER(SEARCH("Melee",$L242)),ISNUMBER(SEARCH("Bypass",$L242))),1.5,1)</f>
        <v>0</v>
      </c>
      <c r="AN242" s="17" cm="1">
        <f t="array" ref="AN242">$H242 *
IF(ISNUMBER(SEARCH("Rapid",$L242)),7/6,1) *
IF(OR(ISNUMBER(SEARCH("Beam",$L242)),ISNUMBER(SEARCH("Firestorm",$L242))),1, IF(ISNUMBER(SEARCH("Blast",$L242)),(4+$G242+(2-$G242)*0.5)/6*2,(4+$G242)/6)) *
_xlfn.IFS(AN$24-$I242 &lt;=1, 5/6, AN$24-$I242 &lt;=5, (7-(AN$24-$I242))/6, AND(AN$24-$I242 =6,NOT(_xlfn.IFNA(ISNUMBER(SEARCH("Rending",$L242)),FALSE))), (7-(AN$24-$I242))/6, AND(AN$24-$I242 &gt;=7,NOT(_xlfn.IFNA(ISNUMBER(SEARCH("Rending",$L242)),FALSE))), 0, AN$24-$I242 =7, (7-(AN$24-1-$I242))/6, AN$24-$I242 =8, (7-(AN$24-2-$I242))/6*2/3, AN$24-$I242 =9, (7-(AN$24-3-$I242))/6*1/3, TRUE, 0) *
IF(ISNUMBER(SEARCH("Ordinance",$L242)),7/6,1) *
IF(OR(ISNUMBER(SEARCH("Melee",$L242)),ISNUMBER(SEARCH("Bypass",$L242))),1.5,1)</f>
        <v>0</v>
      </c>
      <c r="AO242" s="17" cm="1">
        <f t="array" ref="AO242">$H242 *
IF(ISNUMBER(SEARCH("Rapid",$L242)),7/6,1) *
IF(OR(ISNUMBER(SEARCH("Beam",$L242)),ISNUMBER(SEARCH("Firestorm",$L242))),1, IF(ISNUMBER(SEARCH("Blast",$L242)),(4+$G242+(2-$G242)*0.5)/6*2,(4+$G242)/6)) *
_xlfn.IFS(AO$24-$I242 &lt;=1, 5/6, AO$24-$I242 &lt;=5, (7-(AO$24-$I242))/6, AND(AO$24-$I242 =6,NOT(_xlfn.IFNA(ISNUMBER(SEARCH("Rending",$L242)),FALSE))), (7-(AO$24-$I242))/6, AND(AO$24-$I242 &gt;=7,NOT(_xlfn.IFNA(ISNUMBER(SEARCH("Rending",$L242)),FALSE))), 0, AO$24-$I242 =7, (7-(AO$24-1-$I242))/6, AO$24-$I242 =8, (7-(AO$24-2-$I242))/6*2/3, AO$24-$I242 =9, (7-(AO$24-3-$I242))/6*1/3, TRUE, 0) *
IF(ISNUMBER(SEARCH("Ordinance",$L242)),7/6,1) *
IF(OR(ISNUMBER(SEARCH("Melee",$L242)),ISNUMBER(SEARCH("Bypass",$L242))),1.5,1)</f>
        <v>0</v>
      </c>
      <c r="AP242" s="17" cm="1">
        <f t="array" ref="AP242">$H242 *
IF(ISNUMBER(SEARCH("Rapid",$L242)),7/6,1) *
IF(OR(ISNUMBER(SEARCH("Beam",$L242)),ISNUMBER(SEARCH("Firestorm",$L242))),1, IF(ISNUMBER(SEARCH("Blast",$L242)),(4+$G242+(2-$G242)*0.5)/6*2,(4+$G242)/6)) *
_xlfn.IFS(AP$24-$I242 &lt;=1, 5/6, AP$24-$I242 &lt;=5, (7-(AP$24-$I242))/6, AND(AP$24-$I242 =6,NOT(_xlfn.IFNA(ISNUMBER(SEARCH("Rending",$L242)),FALSE))), (7-(AP$24-$I242))/6, AND(AP$24-$I242 &gt;=7,NOT(_xlfn.IFNA(ISNUMBER(SEARCH("Rending",$L242)),FALSE))), 0, AP$24-$I242 =7, (7-(AP$24-1-$I242))/6, AP$24-$I242 =8, (7-(AP$24-2-$I242))/6*2/3, AP$24-$I242 =9, (7-(AP$24-3-$I242))/6*1/3, TRUE, 0) *
IF(ISNUMBER(SEARCH("Ordinance",$L242)),7/6,1) *
IF(OR(ISNUMBER(SEARCH("Melee",$L242)),ISNUMBER(SEARCH("Bypass",$L242))),1.5,1)</f>
        <v>0</v>
      </c>
      <c r="AQ242" s="17" cm="1">
        <f t="array" ref="AQ242">$H242 *
IF(ISNUMBER(SEARCH("Rapid",$L242)),7/6,1) *
IF(OR(ISNUMBER(SEARCH("Beam",$L242)),ISNUMBER(SEARCH("Firestorm",$L242))),1, IF(ISNUMBER(SEARCH("Blast",$L242)),(4+$G242+(2-$G242)*0.5)/6*2,(4+$G242)/6)) *
_xlfn.IFS(AQ$24-$I242 &lt;=1, 5/6, AQ$24-$I242 &lt;=5, (7-(AQ$24-$I242))/6, AND(AQ$24-$I242 =6,NOT(_xlfn.IFNA(ISNUMBER(SEARCH("Rending",$L242)),FALSE))), (7-(AQ$24-$I242))/6, AND(AQ$24-$I242 &gt;=7,NOT(_xlfn.IFNA(ISNUMBER(SEARCH("Rending",$L242)),FALSE))), 0, AQ$24-$I242 =7, (7-(AQ$24-1-$I242))/6, AQ$24-$I242 =8, (7-(AQ$24-2-$I242))/6*2/3, AQ$24-$I242 =9, (7-(AQ$24-3-$I242))/6*1/3, TRUE, 0) *
IF(ISNUMBER(SEARCH("Ordinance",$L242)),7/6,1) *
IF(OR(ISNUMBER(SEARCH("Melee",$L242)),ISNUMBER(SEARCH("Bypass",$L242))),1.5,1)</f>
        <v>0</v>
      </c>
      <c r="AS242" s="16">
        <f t="shared" si="72"/>
        <v>0</v>
      </c>
      <c r="AT242" s="16">
        <f t="shared" si="73"/>
        <v>0</v>
      </c>
      <c r="AU242" s="16">
        <f t="shared" si="74"/>
        <v>0</v>
      </c>
      <c r="AV242" s="2">
        <v>11</v>
      </c>
    </row>
    <row r="243" spans="1:48" x14ac:dyDescent="0.3">
      <c r="A243" t="s">
        <v>818</v>
      </c>
      <c r="B243" s="3">
        <v>16</v>
      </c>
      <c r="C243" s="3">
        <v>48</v>
      </c>
      <c r="D243" s="3">
        <v>1</v>
      </c>
      <c r="E243" s="3">
        <v>2</v>
      </c>
      <c r="F243" s="10">
        <v>-1</v>
      </c>
      <c r="G243" s="10"/>
      <c r="H243" s="3">
        <v>2</v>
      </c>
      <c r="I243" s="3">
        <v>10</v>
      </c>
      <c r="J243" s="3" t="s">
        <v>820</v>
      </c>
      <c r="K243" s="3">
        <v>15</v>
      </c>
      <c r="L243" s="3" t="s">
        <v>819</v>
      </c>
      <c r="V243" s="16">
        <f t="shared" si="65"/>
        <v>0.33333333333333331</v>
      </c>
      <c r="W243" s="16">
        <f t="shared" si="66"/>
        <v>0.5</v>
      </c>
      <c r="X243" s="17" cm="1">
        <f t="array" ref="X243">$H243 *
IF(ISNUMBER(SEARCH("Rapid",$L243)),7/6,1) *
IF(OR(ISNUMBER(SEARCH("Beam",$L243)),ISNUMBER(SEARCH("Firestorm",$L243))),1, IF(ISNUMBER(SEARCH("Blast",$L243)),(4+$F243+(2-$F243)*0.5)/6*2,(4+$F243)/6)) *
IF(ISNUMBER(SEARCH("Fusion",$L243)), _xlfn.IFS(X$24-$I243 &lt;=1, 9/10, X$24-$I243 &lt;=10,(11-(X$24-$I243))/10, X$24-$I243 &gt;=11, 0),
_xlfn.IFS(X$24-$I243 &lt;=1, 5/6, X$24-$I243 &lt;=5, (7-(X$24-$I243))/6, AND(X$24-$I243 =6,NOT(_xlfn.IFNA(ISNUMBER(SEARCH("Rending",$L243)),FALSE))), (7-(X$24-$I243))/6, AND(X$24-$I243 &gt;=7,NOT(_xlfn.IFNA(ISNUMBER(SEARCH("Rending",$L243)),FALSE))), 0, X$24-$I243 =7, (7-(X$24-1-$I243))/6, X$24-$I243 =8, (7-(X$24-2-$I243))/6*2/3, X$24-$I243 =9, (7-(X$24-3-$I243))/6*1/3, TRUE, 0)) *
IF(ISNUMBER(SEARCH("Ordinance",$L243)),7/6,1) *
IF(OR(ISNUMBER(SEARCH("Melee",$L243)),ISNUMBER(SEARCH("Bypass",$L243))),1.5,1)</f>
        <v>0.83333333333333337</v>
      </c>
      <c r="Y243" s="17" cm="1">
        <f t="array" ref="Y243">$H243 *
IF(ISNUMBER(SEARCH("Rapid",$L243)),7/6,1) *
IF(OR(ISNUMBER(SEARCH("Beam",$L243)),ISNUMBER(SEARCH("Firestorm",$L243))),1, IF(ISNUMBER(SEARCH("Blast",$L243)),(4+$F243+(2-$F243)*0.5)/6*2,(4+$F243)/6)) *
IF(ISNUMBER(SEARCH("Fusion",$L243)), _xlfn.IFS(Y$24-$I243 &lt;=1, 9/10, Y$24-$I243 &lt;=10,(11-(Y$24-$I243))/10, Y$24-$I243 &gt;=11, 0),
_xlfn.IFS(Y$24-$I243 &lt;=1, 5/6, Y$24-$I243 &lt;=5, (7-(Y$24-$I243))/6, AND(Y$24-$I243 =6,NOT(_xlfn.IFNA(ISNUMBER(SEARCH("Rending",$L243)),FALSE))), (7-(Y$24-$I243))/6, AND(Y$24-$I243 &gt;=7,NOT(_xlfn.IFNA(ISNUMBER(SEARCH("Rending",$L243)),FALSE))), 0, Y$24-$I243 =7, (7-(Y$24-1-$I243))/6, Y$24-$I243 =8, (7-(Y$24-2-$I243))/6*2/3, Y$24-$I243 =9, (7-(Y$24-3-$I243))/6*1/3, TRUE, 0)) *
IF(ISNUMBER(SEARCH("Ordinance",$L243)),7/6,1) *
IF(OR(ISNUMBER(SEARCH("Melee",$L243)),ISNUMBER(SEARCH("Bypass",$L243))),1.5,1)</f>
        <v>0.83333333333333337</v>
      </c>
      <c r="Z243" s="17" cm="1">
        <f t="array" ref="Z243">$H243 *
IF(ISNUMBER(SEARCH("Rapid",$L243)),7/6,1) *
IF(OR(ISNUMBER(SEARCH("Beam",$L243)),ISNUMBER(SEARCH("Firestorm",$L243))),1, IF(ISNUMBER(SEARCH("Blast",$L243)),(4+$F243+(2-$F243)*0.5)/6*2,(4+$F243)/6)) *
IF(ISNUMBER(SEARCH("Fusion",$L243)), _xlfn.IFS(Z$24-$I243 &lt;=1, 9/10, Z$24-$I243 &lt;=10,(11-(Z$24-$I243))/10, Z$24-$I243 &gt;=11, 0),
_xlfn.IFS(Z$24-$I243 &lt;=1, 5/6, Z$24-$I243 &lt;=5, (7-(Z$24-$I243))/6, AND(Z$24-$I243 =6,NOT(_xlfn.IFNA(ISNUMBER(SEARCH("Rending",$L243)),FALSE))), (7-(Z$24-$I243))/6, AND(Z$24-$I243 &gt;=7,NOT(_xlfn.IFNA(ISNUMBER(SEARCH("Rending",$L243)),FALSE))), 0, Z$24-$I243 =7, (7-(Z$24-1-$I243))/6, Z$24-$I243 =8, (7-(Z$24-2-$I243))/6*2/3, Z$24-$I243 =9, (7-(Z$24-3-$I243))/6*1/3, TRUE, 0)) *
IF(ISNUMBER(SEARCH("Ordinance",$L243)),7/6,1) *
IF(OR(ISNUMBER(SEARCH("Melee",$L243)),ISNUMBER(SEARCH("Bypass",$L243))),1.5,1)</f>
        <v>0.83333333333333337</v>
      </c>
      <c r="AA243" s="17" cm="1">
        <f t="array" ref="AA243">$H243 *
IF(ISNUMBER(SEARCH("Rapid",$L243)),7/6,1) *
IF(OR(ISNUMBER(SEARCH("Beam",$L243)),ISNUMBER(SEARCH("Firestorm",$L243))),1, IF(ISNUMBER(SEARCH("Blast",$L243)),(4+$F243+(2-$F243)*0.5)/6*2,(4+$F243)/6)) *
IF(ISNUMBER(SEARCH("Fusion",$L243)), _xlfn.IFS(AA$24-$I243 &lt;=1, 9/10, AA$24-$I243 &lt;=10,(11-(AA$24-$I243))/10, AA$24-$I243 &gt;=11, 0),
_xlfn.IFS(AA$24-$I243 &lt;=1, 5/6, AA$24-$I243 &lt;=5, (7-(AA$24-$I243))/6, AND(AA$24-$I243 =6,NOT(_xlfn.IFNA(ISNUMBER(SEARCH("Rending",$L243)),FALSE))), (7-(AA$24-$I243))/6, AND(AA$24-$I243 &gt;=7,NOT(_xlfn.IFNA(ISNUMBER(SEARCH("Rending",$L243)),FALSE))), 0, AA$24-$I243 =7, (7-(AA$24-1-$I243))/6, AA$24-$I243 =8, (7-(AA$24-2-$I243))/6*2/3, AA$24-$I243 =9, (7-(AA$24-3-$I243))/6*1/3, TRUE, 0)) *
IF(ISNUMBER(SEARCH("Ordinance",$L243)),7/6,1) *
IF(OR(ISNUMBER(SEARCH("Melee",$L243)),ISNUMBER(SEARCH("Bypass",$L243))),1.5,1)</f>
        <v>0.83333333333333337</v>
      </c>
      <c r="AB243" s="17" cm="1">
        <f t="array" ref="AB243">$H243 *
IF(ISNUMBER(SEARCH("Rapid",$L243)),7/6,1) *
IF(OR(ISNUMBER(SEARCH("Beam",$L243)),ISNUMBER(SEARCH("Firestorm",$L243))),1, IF(ISNUMBER(SEARCH("Blast",$L243)),(4+$F243+(2-$F243)*0.5)/6*2,(4+$F243)/6)) *
IF(ISNUMBER(SEARCH("Fusion",$L243)), _xlfn.IFS(AB$24-$I243 &lt;=1, 9/10, AB$24-$I243 &lt;=10,(11-(AB$24-$I243))/10, AB$24-$I243 &gt;=11, 0),
_xlfn.IFS(AB$24-$I243 &lt;=1, 5/6, AB$24-$I243 &lt;=5, (7-(AB$24-$I243))/6, AND(AB$24-$I243 =6,NOT(_xlfn.IFNA(ISNUMBER(SEARCH("Rending",$L243)),FALSE))), (7-(AB$24-$I243))/6, AND(AB$24-$I243 &gt;=7,NOT(_xlfn.IFNA(ISNUMBER(SEARCH("Rending",$L243)),FALSE))), 0, AB$24-$I243 =7, (7-(AB$24-1-$I243))/6, AB$24-$I243 =8, (7-(AB$24-2-$I243))/6*2/3, AB$24-$I243 =9, (7-(AB$24-3-$I243))/6*1/3, TRUE, 0)) *
IF(ISNUMBER(SEARCH("Ordinance",$L243)),7/6,1) *
IF(OR(ISNUMBER(SEARCH("Melee",$L243)),ISNUMBER(SEARCH("Bypass",$L243))),1.5,1)</f>
        <v>0.66666666666666663</v>
      </c>
      <c r="AC243" s="17" cm="1">
        <f t="array" ref="AC243">$H243 *
IF(ISNUMBER(SEARCH("Rapid",$L243)),7/6,1) *
IF(OR(ISNUMBER(SEARCH("Beam",$L243)),ISNUMBER(SEARCH("Firestorm",$L243))),1, IF(ISNUMBER(SEARCH("Blast",$L243)),(4+$F243+(2-$F243)*0.5)/6*2,(4+$F243)/6)) *
IF(ISNUMBER(SEARCH("Fusion",$L243)), _xlfn.IFS(AC$24-$I243 &lt;=1, 9/10, AC$24-$I243 &lt;=10,(11-(AC$24-$I243))/10, AC$24-$I243 &gt;=11, 0),
_xlfn.IFS(AC$24-$I243 &lt;=1, 5/6, AC$24-$I243 &lt;=5, (7-(AC$24-$I243))/6, AND(AC$24-$I243 =6,NOT(_xlfn.IFNA(ISNUMBER(SEARCH("Rending",$L243)),FALSE))), (7-(AC$24-$I243))/6, AND(AC$24-$I243 &gt;=7,NOT(_xlfn.IFNA(ISNUMBER(SEARCH("Rending",$L243)),FALSE))), 0, AC$24-$I243 =7, (7-(AC$24-1-$I243))/6, AC$24-$I243 =8, (7-(AC$24-2-$I243))/6*2/3, AC$24-$I243 =9, (7-(AC$24-3-$I243))/6*1/3, TRUE, 0)) *
IF(ISNUMBER(SEARCH("Ordinance",$L243)),7/6,1) *
IF(OR(ISNUMBER(SEARCH("Melee",$L243)),ISNUMBER(SEARCH("Bypass",$L243))),1.5,1)</f>
        <v>0.5</v>
      </c>
      <c r="AD243" s="17" cm="1">
        <f t="array" ref="AD243">$H243 *
IF(ISNUMBER(SEARCH("Rapid",$L243)),7/6,1) *
IF(OR(ISNUMBER(SEARCH("Beam",$L243)),ISNUMBER(SEARCH("Firestorm",$L243))),1, IF(ISNUMBER(SEARCH("Blast",$L243)),(4+$F243+(2-$F243)*0.5)/6*2,(4+$F243)/6)) *
IF(ISNUMBER(SEARCH("Fusion",$L243)), _xlfn.IFS(AD$24-$I243 &lt;=1, 9/10, AD$24-$I243 &lt;=10,(11-(AD$24-$I243))/10, AD$24-$I243 &gt;=11, 0),
_xlfn.IFS(AD$24-$I243 &lt;=1, 5/6, AD$24-$I243 &lt;=5, (7-(AD$24-$I243))/6, AND(AD$24-$I243 =6,NOT(_xlfn.IFNA(ISNUMBER(SEARCH("Rending",$L243)),FALSE))), (7-(AD$24-$I243))/6, AND(AD$24-$I243 &gt;=7,NOT(_xlfn.IFNA(ISNUMBER(SEARCH("Rending",$L243)),FALSE))), 0, AD$24-$I243 =7, (7-(AD$24-1-$I243))/6, AD$24-$I243 =8, (7-(AD$24-2-$I243))/6*2/3, AD$24-$I243 =9, (7-(AD$24-3-$I243))/6*1/3, TRUE, 0)) *
IF(ISNUMBER(SEARCH("Ordinance",$L243)),7/6,1) *
IF(OR(ISNUMBER(SEARCH("Melee",$L243)),ISNUMBER(SEARCH("Bypass",$L243))),1.5,1)</f>
        <v>0.33333333333333331</v>
      </c>
      <c r="AE243" s="17" cm="1">
        <f t="array" ref="AE243">$H243 *
IF(ISNUMBER(SEARCH("Rapid",$L243)),7/6,1) *
IF(OR(ISNUMBER(SEARCH("Beam",$L243)),ISNUMBER(SEARCH("Firestorm",$L243))),1, IF(ISNUMBER(SEARCH("Blast",$L243)),(4+$F243+(2-$F243)*0.5)/6*2,(4+$F243)/6)) *
IF(ISNUMBER(SEARCH("Fusion",$L243)), _xlfn.IFS(AE$24-$I243 &lt;=1, 9/10, AE$24-$I243 &lt;=10,(11-(AE$24-$I243))/10, AE$24-$I243 &gt;=11, 0),
_xlfn.IFS(AE$24-$I243 &lt;=1, 5/6, AE$24-$I243 &lt;=5, (7-(AE$24-$I243))/6, AND(AE$24-$I243 =6,NOT(_xlfn.IFNA(ISNUMBER(SEARCH("Rending",$L243)),FALSE))), (7-(AE$24-$I243))/6, AND(AE$24-$I243 &gt;=7,NOT(_xlfn.IFNA(ISNUMBER(SEARCH("Rending",$L243)),FALSE))), 0, AE$24-$I243 =7, (7-(AE$24-1-$I243))/6, AE$24-$I243 =8, (7-(AE$24-2-$I243))/6*2/3, AE$24-$I243 =9, (7-(AE$24-3-$I243))/6*1/3, TRUE, 0)) *
IF(ISNUMBER(SEARCH("Ordinance",$L243)),7/6,1) *
IF(OR(ISNUMBER(SEARCH("Melee",$L243)),ISNUMBER(SEARCH("Bypass",$L243))),1.5,1)</f>
        <v>0.16666666666666666</v>
      </c>
      <c r="AF243" s="17" cm="1">
        <f t="array" ref="AF243">$H243 *
IF(ISNUMBER(SEARCH("Rapid",$L243)),7/6,1) *
IF(OR(ISNUMBER(SEARCH("Beam",$L243)),ISNUMBER(SEARCH("Firestorm",$L243))),1, IF(ISNUMBER(SEARCH("Blast",$L243)),(4+$F243+(2-$F243)*0.5)/6*2,(4+$F243)/6)) *
IF(ISNUMBER(SEARCH("Fusion",$L243)), _xlfn.IFS(AF$24-$I243 &lt;=1, 9/10, AF$24-$I243 &lt;=10,(11-(AF$24-$I243))/10, AF$24-$I243 &gt;=11, 0),
_xlfn.IFS(AF$24-$I243 &lt;=1, 5/6, AF$24-$I243 &lt;=5, (7-(AF$24-$I243))/6, AND(AF$24-$I243 =6,NOT(_xlfn.IFNA(ISNUMBER(SEARCH("Rending",$L243)),FALSE))), (7-(AF$24-$I243))/6, AND(AF$24-$I243 &gt;=7,NOT(_xlfn.IFNA(ISNUMBER(SEARCH("Rending",$L243)),FALSE))), 0, AF$24-$I243 =7, (7-(AF$24-1-$I243))/6, AF$24-$I243 =8, (7-(AF$24-2-$I243))/6*2/3, AF$24-$I243 =9, (7-(AF$24-3-$I243))/6*1/3, TRUE, 0)) *
IF(ISNUMBER(SEARCH("Ordinance",$L243)),7/6,1) *
IF(OR(ISNUMBER(SEARCH("Melee",$L243)),ISNUMBER(SEARCH("Bypass",$L243))),1.5,1)</f>
        <v>0</v>
      </c>
      <c r="AG243" s="16">
        <f t="shared" si="67"/>
        <v>0.44444444444444442</v>
      </c>
      <c r="AH243" s="16">
        <f t="shared" si="68"/>
        <v>0.66666666666666663</v>
      </c>
      <c r="AI243" s="17" cm="1">
        <f t="array" ref="AI243">$H243 *
IF(ISNUMBER(SEARCH("Rapid",$L243)),7/6,1) *
IF(OR(ISNUMBER(SEARCH("Beam",$L243)),ISNUMBER(SEARCH("Firestorm",$L243))),1, IF(ISNUMBER(SEARCH("Blast",$L243)),(4+$G243+(2-$G243)*0.5)/6*2,(4+$G243)/6)) *
_xlfn.IFS(AI$24-$I243 &lt;=1, 5/6, AI$24-$I243 &lt;=5, (7-(AI$24-$I243))/6, AND(AI$24-$I243 =6,NOT(_xlfn.IFNA(ISNUMBER(SEARCH("Rending",$L243)),FALSE))), (7-(AI$24-$I243))/6, AND(AI$24-$I243 &gt;=7,NOT(_xlfn.IFNA(ISNUMBER(SEARCH("Rending",$L243)),FALSE))), 0, AI$24-$I243 =7, (7-(AI$24-1-$I243))/6, AI$24-$I243 =8, (7-(AI$24-2-$I243))/6*2/3, AI$24-$I243 =9, (7-(AI$24-3-$I243))/6*1/3, TRUE, 0) *
IF(ISNUMBER(SEARCH("Ordinance",$L243)),7/6,1) *
IF(OR(ISNUMBER(SEARCH("Melee",$L243)),ISNUMBER(SEARCH("Bypass",$L243))),1.5,1)</f>
        <v>1.1111111111111112</v>
      </c>
      <c r="AJ243" s="17" cm="1">
        <f t="array" ref="AJ243">$H243 *
IF(ISNUMBER(SEARCH("Rapid",$L243)),7/6,1) *
IF(OR(ISNUMBER(SEARCH("Beam",$L243)),ISNUMBER(SEARCH("Firestorm",$L243))),1, IF(ISNUMBER(SEARCH("Blast",$L243)),(4+$G243+(2-$G243)*0.5)/6*2,(4+$G243)/6)) *
_xlfn.IFS(AJ$24-$I243 &lt;=1, 5/6, AJ$24-$I243 &lt;=5, (7-(AJ$24-$I243))/6, AND(AJ$24-$I243 =6,NOT(_xlfn.IFNA(ISNUMBER(SEARCH("Rending",$L243)),FALSE))), (7-(AJ$24-$I243))/6, AND(AJ$24-$I243 &gt;=7,NOT(_xlfn.IFNA(ISNUMBER(SEARCH("Rending",$L243)),FALSE))), 0, AJ$24-$I243 =7, (7-(AJ$24-1-$I243))/6, AJ$24-$I243 =8, (7-(AJ$24-2-$I243))/6*2/3, AJ$24-$I243 =9, (7-(AJ$24-3-$I243))/6*1/3, TRUE, 0) *
IF(ISNUMBER(SEARCH("Ordinance",$L243)),7/6,1) *
IF(OR(ISNUMBER(SEARCH("Melee",$L243)),ISNUMBER(SEARCH("Bypass",$L243))),1.5,1)</f>
        <v>1.1111111111111112</v>
      </c>
      <c r="AK243" s="17" cm="1">
        <f t="array" ref="AK243">$H243 *
IF(ISNUMBER(SEARCH("Rapid",$L243)),7/6,1) *
IF(OR(ISNUMBER(SEARCH("Beam",$L243)),ISNUMBER(SEARCH("Firestorm",$L243))),1, IF(ISNUMBER(SEARCH("Blast",$L243)),(4+$G243+(2-$G243)*0.5)/6*2,(4+$G243)/6)) *
_xlfn.IFS(AK$24-$I243 &lt;=1, 5/6, AK$24-$I243 &lt;=5, (7-(AK$24-$I243))/6, AND(AK$24-$I243 =6,NOT(_xlfn.IFNA(ISNUMBER(SEARCH("Rending",$L243)),FALSE))), (7-(AK$24-$I243))/6, AND(AK$24-$I243 &gt;=7,NOT(_xlfn.IFNA(ISNUMBER(SEARCH("Rending",$L243)),FALSE))), 0, AK$24-$I243 =7, (7-(AK$24-1-$I243))/6, AK$24-$I243 =8, (7-(AK$24-2-$I243))/6*2/3, AK$24-$I243 =9, (7-(AK$24-3-$I243))/6*1/3, TRUE, 0) *
IF(ISNUMBER(SEARCH("Ordinance",$L243)),7/6,1) *
IF(OR(ISNUMBER(SEARCH("Melee",$L243)),ISNUMBER(SEARCH("Bypass",$L243))),1.5,1)</f>
        <v>1.1111111111111112</v>
      </c>
      <c r="AL243" s="17" cm="1">
        <f t="array" ref="AL243">$H243 *
IF(ISNUMBER(SEARCH("Rapid",$L243)),7/6,1) *
IF(OR(ISNUMBER(SEARCH("Beam",$L243)),ISNUMBER(SEARCH("Firestorm",$L243))),1, IF(ISNUMBER(SEARCH("Blast",$L243)),(4+$G243+(2-$G243)*0.5)/6*2,(4+$G243)/6)) *
_xlfn.IFS(AL$24-$I243 &lt;=1, 5/6, AL$24-$I243 &lt;=5, (7-(AL$24-$I243))/6, AND(AL$24-$I243 =6,NOT(_xlfn.IFNA(ISNUMBER(SEARCH("Rending",$L243)),FALSE))), (7-(AL$24-$I243))/6, AND(AL$24-$I243 &gt;=7,NOT(_xlfn.IFNA(ISNUMBER(SEARCH("Rending",$L243)),FALSE))), 0, AL$24-$I243 =7, (7-(AL$24-1-$I243))/6, AL$24-$I243 =8, (7-(AL$24-2-$I243))/6*2/3, AL$24-$I243 =9, (7-(AL$24-3-$I243))/6*1/3, TRUE, 0) *
IF(ISNUMBER(SEARCH("Ordinance",$L243)),7/6,1) *
IF(OR(ISNUMBER(SEARCH("Melee",$L243)),ISNUMBER(SEARCH("Bypass",$L243))),1.5,1)</f>
        <v>1.1111111111111112</v>
      </c>
      <c r="AM243" s="17" cm="1">
        <f t="array" ref="AM243">$H243 *
IF(ISNUMBER(SEARCH("Rapid",$L243)),7/6,1) *
IF(OR(ISNUMBER(SEARCH("Beam",$L243)),ISNUMBER(SEARCH("Firestorm",$L243))),1, IF(ISNUMBER(SEARCH("Blast",$L243)),(4+$G243+(2-$G243)*0.5)/6*2,(4+$G243)/6)) *
_xlfn.IFS(AM$24-$I243 &lt;=1, 5/6, AM$24-$I243 &lt;=5, (7-(AM$24-$I243))/6, AND(AM$24-$I243 =6,NOT(_xlfn.IFNA(ISNUMBER(SEARCH("Rending",$L243)),FALSE))), (7-(AM$24-$I243))/6, AND(AM$24-$I243 &gt;=7,NOT(_xlfn.IFNA(ISNUMBER(SEARCH("Rending",$L243)),FALSE))), 0, AM$24-$I243 =7, (7-(AM$24-1-$I243))/6, AM$24-$I243 =8, (7-(AM$24-2-$I243))/6*2/3, AM$24-$I243 =9, (7-(AM$24-3-$I243))/6*1/3, TRUE, 0) *
IF(ISNUMBER(SEARCH("Ordinance",$L243)),7/6,1) *
IF(OR(ISNUMBER(SEARCH("Melee",$L243)),ISNUMBER(SEARCH("Bypass",$L243))),1.5,1)</f>
        <v>0.88888888888888884</v>
      </c>
      <c r="AN243" s="17" cm="1">
        <f t="array" ref="AN243">$H243 *
IF(ISNUMBER(SEARCH("Rapid",$L243)),7/6,1) *
IF(OR(ISNUMBER(SEARCH("Beam",$L243)),ISNUMBER(SEARCH("Firestorm",$L243))),1, IF(ISNUMBER(SEARCH("Blast",$L243)),(4+$G243+(2-$G243)*0.5)/6*2,(4+$G243)/6)) *
_xlfn.IFS(AN$24-$I243 &lt;=1, 5/6, AN$24-$I243 &lt;=5, (7-(AN$24-$I243))/6, AND(AN$24-$I243 =6,NOT(_xlfn.IFNA(ISNUMBER(SEARCH("Rending",$L243)),FALSE))), (7-(AN$24-$I243))/6, AND(AN$24-$I243 &gt;=7,NOT(_xlfn.IFNA(ISNUMBER(SEARCH("Rending",$L243)),FALSE))), 0, AN$24-$I243 =7, (7-(AN$24-1-$I243))/6, AN$24-$I243 =8, (7-(AN$24-2-$I243))/6*2/3, AN$24-$I243 =9, (7-(AN$24-3-$I243))/6*1/3, TRUE, 0) *
IF(ISNUMBER(SEARCH("Ordinance",$L243)),7/6,1) *
IF(OR(ISNUMBER(SEARCH("Melee",$L243)),ISNUMBER(SEARCH("Bypass",$L243))),1.5,1)</f>
        <v>0.66666666666666663</v>
      </c>
      <c r="AO243" s="17" cm="1">
        <f t="array" ref="AO243">$H243 *
IF(ISNUMBER(SEARCH("Rapid",$L243)),7/6,1) *
IF(OR(ISNUMBER(SEARCH("Beam",$L243)),ISNUMBER(SEARCH("Firestorm",$L243))),1, IF(ISNUMBER(SEARCH("Blast",$L243)),(4+$G243+(2-$G243)*0.5)/6*2,(4+$G243)/6)) *
_xlfn.IFS(AO$24-$I243 &lt;=1, 5/6, AO$24-$I243 &lt;=5, (7-(AO$24-$I243))/6, AND(AO$24-$I243 =6,NOT(_xlfn.IFNA(ISNUMBER(SEARCH("Rending",$L243)),FALSE))), (7-(AO$24-$I243))/6, AND(AO$24-$I243 &gt;=7,NOT(_xlfn.IFNA(ISNUMBER(SEARCH("Rending",$L243)),FALSE))), 0, AO$24-$I243 =7, (7-(AO$24-1-$I243))/6, AO$24-$I243 =8, (7-(AO$24-2-$I243))/6*2/3, AO$24-$I243 =9, (7-(AO$24-3-$I243))/6*1/3, TRUE, 0) *
IF(ISNUMBER(SEARCH("Ordinance",$L243)),7/6,1) *
IF(OR(ISNUMBER(SEARCH("Melee",$L243)),ISNUMBER(SEARCH("Bypass",$L243))),1.5,1)</f>
        <v>0.44444444444444442</v>
      </c>
      <c r="AP243" s="17" cm="1">
        <f t="array" ref="AP243">$H243 *
IF(ISNUMBER(SEARCH("Rapid",$L243)),7/6,1) *
IF(OR(ISNUMBER(SEARCH("Beam",$L243)),ISNUMBER(SEARCH("Firestorm",$L243))),1, IF(ISNUMBER(SEARCH("Blast",$L243)),(4+$G243+(2-$G243)*0.5)/6*2,(4+$G243)/6)) *
_xlfn.IFS(AP$24-$I243 &lt;=1, 5/6, AP$24-$I243 &lt;=5, (7-(AP$24-$I243))/6, AND(AP$24-$I243 =6,NOT(_xlfn.IFNA(ISNUMBER(SEARCH("Rending",$L243)),FALSE))), (7-(AP$24-$I243))/6, AND(AP$24-$I243 &gt;=7,NOT(_xlfn.IFNA(ISNUMBER(SEARCH("Rending",$L243)),FALSE))), 0, AP$24-$I243 =7, (7-(AP$24-1-$I243))/6, AP$24-$I243 =8, (7-(AP$24-2-$I243))/6*2/3, AP$24-$I243 =9, (7-(AP$24-3-$I243))/6*1/3, TRUE, 0) *
IF(ISNUMBER(SEARCH("Ordinance",$L243)),7/6,1) *
IF(OR(ISNUMBER(SEARCH("Melee",$L243)),ISNUMBER(SEARCH("Bypass",$L243))),1.5,1)</f>
        <v>0.22222222222222221</v>
      </c>
      <c r="AQ243" s="17" cm="1">
        <f t="array" ref="AQ243">$H243 *
IF(ISNUMBER(SEARCH("Rapid",$L243)),7/6,1) *
IF(OR(ISNUMBER(SEARCH("Beam",$L243)),ISNUMBER(SEARCH("Firestorm",$L243))),1, IF(ISNUMBER(SEARCH("Blast",$L243)),(4+$G243+(2-$G243)*0.5)/6*2,(4+$G243)/6)) *
_xlfn.IFS(AQ$24-$I243 &lt;=1, 5/6, AQ$24-$I243 &lt;=5, (7-(AQ$24-$I243))/6, AND(AQ$24-$I243 =6,NOT(_xlfn.IFNA(ISNUMBER(SEARCH("Rending",$L243)),FALSE))), (7-(AQ$24-$I243))/6, AND(AQ$24-$I243 &gt;=7,NOT(_xlfn.IFNA(ISNUMBER(SEARCH("Rending",$L243)),FALSE))), 0, AQ$24-$I243 =7, (7-(AQ$24-1-$I243))/6, AQ$24-$I243 =8, (7-(AQ$24-2-$I243))/6*2/3, AQ$24-$I243 =9, (7-(AQ$24-3-$I243))/6*1/3, TRUE, 0) *
IF(ISNUMBER(SEARCH("Ordinance",$L243)),7/6,1) *
IF(OR(ISNUMBER(SEARCH("Melee",$L243)),ISNUMBER(SEARCH("Bypass",$L243))),1.5,1)</f>
        <v>0</v>
      </c>
      <c r="AS243" s="16">
        <f t="shared" si="72"/>
        <v>0.29629629629629628</v>
      </c>
      <c r="AT243" s="16">
        <f t="shared" si="73"/>
        <v>0.44444444444444442</v>
      </c>
      <c r="AU243" s="16">
        <f t="shared" si="74"/>
        <v>0.86111111111111116</v>
      </c>
      <c r="AV243" s="2">
        <v>11</v>
      </c>
    </row>
    <row r="244" spans="1:48" x14ac:dyDescent="0.3">
      <c r="A244" t="s">
        <v>871</v>
      </c>
      <c r="B244" s="3">
        <v>15</v>
      </c>
      <c r="C244" s="3">
        <v>30</v>
      </c>
      <c r="F244" s="10"/>
      <c r="G244" s="10"/>
      <c r="H244" s="3">
        <v>9</v>
      </c>
      <c r="I244" s="3">
        <v>4</v>
      </c>
      <c r="J244" s="3" t="s">
        <v>820</v>
      </c>
      <c r="K244" s="3">
        <v>10</v>
      </c>
      <c r="L244" s="3" t="s">
        <v>819</v>
      </c>
      <c r="V244" s="16">
        <f t="shared" si="65"/>
        <v>2</v>
      </c>
      <c r="W244" s="16">
        <f t="shared" si="66"/>
        <v>3</v>
      </c>
      <c r="X244" s="17" cm="1">
        <f t="array" ref="X244">$H244 *
IF(ISNUMBER(SEARCH("Rapid",$L244)),7/6,1) *
IF(OR(ISNUMBER(SEARCH("Beam",$L244)),ISNUMBER(SEARCH("Firestorm",$L244))),1, IF(ISNUMBER(SEARCH("Blast",$L244)),(4+$F244+(2-$F244)*0.5)/6*2,(4+$F244)/6)) *
IF(ISNUMBER(SEARCH("Fusion",$L244)), _xlfn.IFS(X$24-$I244 &lt;=1, 9/10, X$24-$I244 &lt;=10,(11-(X$24-$I244))/10, X$24-$I244 &gt;=11, 0),
_xlfn.IFS(X$24-$I244 &lt;=1, 5/6, X$24-$I244 &lt;=5, (7-(X$24-$I244))/6, AND(X$24-$I244 =6,NOT(_xlfn.IFNA(ISNUMBER(SEARCH("Rending",$L244)),FALSE))), (7-(X$24-$I244))/6, AND(X$24-$I244 &gt;=7,NOT(_xlfn.IFNA(ISNUMBER(SEARCH("Rending",$L244)),FALSE))), 0, X$24-$I244 =7, (7-(X$24-1-$I244))/6, X$24-$I244 =8, (7-(X$24-2-$I244))/6*2/3, X$24-$I244 =9, (7-(X$24-3-$I244))/6*1/3, TRUE, 0)) *
IF(ISNUMBER(SEARCH("Ordinance",$L244)),7/6,1) *
IF(OR(ISNUMBER(SEARCH("Melee",$L244)),ISNUMBER(SEARCH("Bypass",$L244))),1.5,1)</f>
        <v>2</v>
      </c>
      <c r="Y244" s="17" cm="1">
        <f t="array" ref="Y244">$H244 *
IF(ISNUMBER(SEARCH("Rapid",$L244)),7/6,1) *
IF(OR(ISNUMBER(SEARCH("Beam",$L244)),ISNUMBER(SEARCH("Firestorm",$L244))),1, IF(ISNUMBER(SEARCH("Blast",$L244)),(4+$F244+(2-$F244)*0.5)/6*2,(4+$F244)/6)) *
IF(ISNUMBER(SEARCH("Fusion",$L244)), _xlfn.IFS(Y$24-$I244 &lt;=1, 9/10, Y$24-$I244 &lt;=10,(11-(Y$24-$I244))/10, Y$24-$I244 &gt;=11, 0),
_xlfn.IFS(Y$24-$I244 &lt;=1, 5/6, Y$24-$I244 &lt;=5, (7-(Y$24-$I244))/6, AND(Y$24-$I244 =6,NOT(_xlfn.IFNA(ISNUMBER(SEARCH("Rending",$L244)),FALSE))), (7-(Y$24-$I244))/6, AND(Y$24-$I244 &gt;=7,NOT(_xlfn.IFNA(ISNUMBER(SEARCH("Rending",$L244)),FALSE))), 0, Y$24-$I244 =7, (7-(Y$24-1-$I244))/6, Y$24-$I244 =8, (7-(Y$24-2-$I244))/6*2/3, Y$24-$I244 =9, (7-(Y$24-3-$I244))/6*1/3, TRUE, 0)) *
IF(ISNUMBER(SEARCH("Ordinance",$L244)),7/6,1) *
IF(OR(ISNUMBER(SEARCH("Melee",$L244)),ISNUMBER(SEARCH("Bypass",$L244))),1.5,1)</f>
        <v>1</v>
      </c>
      <c r="Z244" s="17" cm="1">
        <f t="array" ref="Z244">$H244 *
IF(ISNUMBER(SEARCH("Rapid",$L244)),7/6,1) *
IF(OR(ISNUMBER(SEARCH("Beam",$L244)),ISNUMBER(SEARCH("Firestorm",$L244))),1, IF(ISNUMBER(SEARCH("Blast",$L244)),(4+$F244+(2-$F244)*0.5)/6*2,(4+$F244)/6)) *
IF(ISNUMBER(SEARCH("Fusion",$L244)), _xlfn.IFS(Z$24-$I244 &lt;=1, 9/10, Z$24-$I244 &lt;=10,(11-(Z$24-$I244))/10, Z$24-$I244 &gt;=11, 0),
_xlfn.IFS(Z$24-$I244 &lt;=1, 5/6, Z$24-$I244 &lt;=5, (7-(Z$24-$I244))/6, AND(Z$24-$I244 =6,NOT(_xlfn.IFNA(ISNUMBER(SEARCH("Rending",$L244)),FALSE))), (7-(Z$24-$I244))/6, AND(Z$24-$I244 &gt;=7,NOT(_xlfn.IFNA(ISNUMBER(SEARCH("Rending",$L244)),FALSE))), 0, Z$24-$I244 =7, (7-(Z$24-1-$I244))/6, Z$24-$I244 =8, (7-(Z$24-2-$I244))/6*2/3, Z$24-$I244 =9, (7-(Z$24-3-$I244))/6*1/3, TRUE, 0)) *
IF(ISNUMBER(SEARCH("Ordinance",$L244)),7/6,1) *
IF(OR(ISNUMBER(SEARCH("Melee",$L244)),ISNUMBER(SEARCH("Bypass",$L244))),1.5,1)</f>
        <v>0</v>
      </c>
      <c r="AA244" s="17" cm="1">
        <f t="array" ref="AA244">$H244 *
IF(ISNUMBER(SEARCH("Rapid",$L244)),7/6,1) *
IF(OR(ISNUMBER(SEARCH("Beam",$L244)),ISNUMBER(SEARCH("Firestorm",$L244))),1, IF(ISNUMBER(SEARCH("Blast",$L244)),(4+$F244+(2-$F244)*0.5)/6*2,(4+$F244)/6)) *
IF(ISNUMBER(SEARCH("Fusion",$L244)), _xlfn.IFS(AA$24-$I244 &lt;=1, 9/10, AA$24-$I244 &lt;=10,(11-(AA$24-$I244))/10, AA$24-$I244 &gt;=11, 0),
_xlfn.IFS(AA$24-$I244 &lt;=1, 5/6, AA$24-$I244 &lt;=5, (7-(AA$24-$I244))/6, AND(AA$24-$I244 =6,NOT(_xlfn.IFNA(ISNUMBER(SEARCH("Rending",$L244)),FALSE))), (7-(AA$24-$I244))/6, AND(AA$24-$I244 &gt;=7,NOT(_xlfn.IFNA(ISNUMBER(SEARCH("Rending",$L244)),FALSE))), 0, AA$24-$I244 =7, (7-(AA$24-1-$I244))/6, AA$24-$I244 =8, (7-(AA$24-2-$I244))/6*2/3, AA$24-$I244 =9, (7-(AA$24-3-$I244))/6*1/3, TRUE, 0)) *
IF(ISNUMBER(SEARCH("Ordinance",$L244)),7/6,1) *
IF(OR(ISNUMBER(SEARCH("Melee",$L244)),ISNUMBER(SEARCH("Bypass",$L244))),1.5,1)</f>
        <v>0</v>
      </c>
      <c r="AB244" s="17" cm="1">
        <f t="array" ref="AB244">$H244 *
IF(ISNUMBER(SEARCH("Rapid",$L244)),7/6,1) *
IF(OR(ISNUMBER(SEARCH("Beam",$L244)),ISNUMBER(SEARCH("Firestorm",$L244))),1, IF(ISNUMBER(SEARCH("Blast",$L244)),(4+$F244+(2-$F244)*0.5)/6*2,(4+$F244)/6)) *
IF(ISNUMBER(SEARCH("Fusion",$L244)), _xlfn.IFS(AB$24-$I244 &lt;=1, 9/10, AB$24-$I244 &lt;=10,(11-(AB$24-$I244))/10, AB$24-$I244 &gt;=11, 0),
_xlfn.IFS(AB$24-$I244 &lt;=1, 5/6, AB$24-$I244 &lt;=5, (7-(AB$24-$I244))/6, AND(AB$24-$I244 =6,NOT(_xlfn.IFNA(ISNUMBER(SEARCH("Rending",$L244)),FALSE))), (7-(AB$24-$I244))/6, AND(AB$24-$I244 &gt;=7,NOT(_xlfn.IFNA(ISNUMBER(SEARCH("Rending",$L244)),FALSE))), 0, AB$24-$I244 =7, (7-(AB$24-1-$I244))/6, AB$24-$I244 =8, (7-(AB$24-2-$I244))/6*2/3, AB$24-$I244 =9, (7-(AB$24-3-$I244))/6*1/3, TRUE, 0)) *
IF(ISNUMBER(SEARCH("Ordinance",$L244)),7/6,1) *
IF(OR(ISNUMBER(SEARCH("Melee",$L244)),ISNUMBER(SEARCH("Bypass",$L244))),1.5,1)</f>
        <v>0</v>
      </c>
      <c r="AC244" s="17" cm="1">
        <f t="array" ref="AC244">$H244 *
IF(ISNUMBER(SEARCH("Rapid",$L244)),7/6,1) *
IF(OR(ISNUMBER(SEARCH("Beam",$L244)),ISNUMBER(SEARCH("Firestorm",$L244))),1, IF(ISNUMBER(SEARCH("Blast",$L244)),(4+$F244+(2-$F244)*0.5)/6*2,(4+$F244)/6)) *
IF(ISNUMBER(SEARCH("Fusion",$L244)), _xlfn.IFS(AC$24-$I244 &lt;=1, 9/10, AC$24-$I244 &lt;=10,(11-(AC$24-$I244))/10, AC$24-$I244 &gt;=11, 0),
_xlfn.IFS(AC$24-$I244 &lt;=1, 5/6, AC$24-$I244 &lt;=5, (7-(AC$24-$I244))/6, AND(AC$24-$I244 =6,NOT(_xlfn.IFNA(ISNUMBER(SEARCH("Rending",$L244)),FALSE))), (7-(AC$24-$I244))/6, AND(AC$24-$I244 &gt;=7,NOT(_xlfn.IFNA(ISNUMBER(SEARCH("Rending",$L244)),FALSE))), 0, AC$24-$I244 =7, (7-(AC$24-1-$I244))/6, AC$24-$I244 =8, (7-(AC$24-2-$I244))/6*2/3, AC$24-$I244 =9, (7-(AC$24-3-$I244))/6*1/3, TRUE, 0)) *
IF(ISNUMBER(SEARCH("Ordinance",$L244)),7/6,1) *
IF(OR(ISNUMBER(SEARCH("Melee",$L244)),ISNUMBER(SEARCH("Bypass",$L244))),1.5,1)</f>
        <v>0</v>
      </c>
      <c r="AD244" s="17" cm="1">
        <f t="array" ref="AD244">$H244 *
IF(ISNUMBER(SEARCH("Rapid",$L244)),7/6,1) *
IF(OR(ISNUMBER(SEARCH("Beam",$L244)),ISNUMBER(SEARCH("Firestorm",$L244))),1, IF(ISNUMBER(SEARCH("Blast",$L244)),(4+$F244+(2-$F244)*0.5)/6*2,(4+$F244)/6)) *
IF(ISNUMBER(SEARCH("Fusion",$L244)), _xlfn.IFS(AD$24-$I244 &lt;=1, 9/10, AD$24-$I244 &lt;=10,(11-(AD$24-$I244))/10, AD$24-$I244 &gt;=11, 0),
_xlfn.IFS(AD$24-$I244 &lt;=1, 5/6, AD$24-$I244 &lt;=5, (7-(AD$24-$I244))/6, AND(AD$24-$I244 =6,NOT(_xlfn.IFNA(ISNUMBER(SEARCH("Rending",$L244)),FALSE))), (7-(AD$24-$I244))/6, AND(AD$24-$I244 &gt;=7,NOT(_xlfn.IFNA(ISNUMBER(SEARCH("Rending",$L244)),FALSE))), 0, AD$24-$I244 =7, (7-(AD$24-1-$I244))/6, AD$24-$I244 =8, (7-(AD$24-2-$I244))/6*2/3, AD$24-$I244 =9, (7-(AD$24-3-$I244))/6*1/3, TRUE, 0)) *
IF(ISNUMBER(SEARCH("Ordinance",$L244)),7/6,1) *
IF(OR(ISNUMBER(SEARCH("Melee",$L244)),ISNUMBER(SEARCH("Bypass",$L244))),1.5,1)</f>
        <v>0</v>
      </c>
      <c r="AE244" s="17" cm="1">
        <f t="array" ref="AE244">$H244 *
IF(ISNUMBER(SEARCH("Rapid",$L244)),7/6,1) *
IF(OR(ISNUMBER(SEARCH("Beam",$L244)),ISNUMBER(SEARCH("Firestorm",$L244))),1, IF(ISNUMBER(SEARCH("Blast",$L244)),(4+$F244+(2-$F244)*0.5)/6*2,(4+$F244)/6)) *
IF(ISNUMBER(SEARCH("Fusion",$L244)), _xlfn.IFS(AE$24-$I244 &lt;=1, 9/10, AE$24-$I244 &lt;=10,(11-(AE$24-$I244))/10, AE$24-$I244 &gt;=11, 0),
_xlfn.IFS(AE$24-$I244 &lt;=1, 5/6, AE$24-$I244 &lt;=5, (7-(AE$24-$I244))/6, AND(AE$24-$I244 =6,NOT(_xlfn.IFNA(ISNUMBER(SEARCH("Rending",$L244)),FALSE))), (7-(AE$24-$I244))/6, AND(AE$24-$I244 &gt;=7,NOT(_xlfn.IFNA(ISNUMBER(SEARCH("Rending",$L244)),FALSE))), 0, AE$24-$I244 =7, (7-(AE$24-1-$I244))/6, AE$24-$I244 =8, (7-(AE$24-2-$I244))/6*2/3, AE$24-$I244 =9, (7-(AE$24-3-$I244))/6*1/3, TRUE, 0)) *
IF(ISNUMBER(SEARCH("Ordinance",$L244)),7/6,1) *
IF(OR(ISNUMBER(SEARCH("Melee",$L244)),ISNUMBER(SEARCH("Bypass",$L244))),1.5,1)</f>
        <v>0</v>
      </c>
      <c r="AF244" s="17" cm="1">
        <f t="array" ref="AF244">$H244 *
IF(ISNUMBER(SEARCH("Rapid",$L244)),7/6,1) *
IF(OR(ISNUMBER(SEARCH("Beam",$L244)),ISNUMBER(SEARCH("Firestorm",$L244))),1, IF(ISNUMBER(SEARCH("Blast",$L244)),(4+$F244+(2-$F244)*0.5)/6*2,(4+$F244)/6)) *
IF(ISNUMBER(SEARCH("Fusion",$L244)), _xlfn.IFS(AF$24-$I244 &lt;=1, 9/10, AF$24-$I244 &lt;=10,(11-(AF$24-$I244))/10, AF$24-$I244 &gt;=11, 0),
_xlfn.IFS(AF$24-$I244 &lt;=1, 5/6, AF$24-$I244 &lt;=5, (7-(AF$24-$I244))/6, AND(AF$24-$I244 =6,NOT(_xlfn.IFNA(ISNUMBER(SEARCH("Rending",$L244)),FALSE))), (7-(AF$24-$I244))/6, AND(AF$24-$I244 &gt;=7,NOT(_xlfn.IFNA(ISNUMBER(SEARCH("Rending",$L244)),FALSE))), 0, AF$24-$I244 =7, (7-(AF$24-1-$I244))/6, AF$24-$I244 =8, (7-(AF$24-2-$I244))/6*2/3, AF$24-$I244 =9, (7-(AF$24-3-$I244))/6*1/3, TRUE, 0)) *
IF(ISNUMBER(SEARCH("Ordinance",$L244)),7/6,1) *
IF(OR(ISNUMBER(SEARCH("Melee",$L244)),ISNUMBER(SEARCH("Bypass",$L244))),1.5,1)</f>
        <v>0</v>
      </c>
      <c r="AG244" s="16">
        <f t="shared" si="67"/>
        <v>2</v>
      </c>
      <c r="AH244" s="16">
        <f t="shared" si="68"/>
        <v>3</v>
      </c>
      <c r="AI244" s="17" cm="1">
        <f t="array" ref="AI244">$H244 *
IF(ISNUMBER(SEARCH("Rapid",$L244)),7/6,1) *
IF(OR(ISNUMBER(SEARCH("Beam",$L244)),ISNUMBER(SEARCH("Firestorm",$L244))),1, IF(ISNUMBER(SEARCH("Blast",$L244)),(4+$G244+(2-$G244)*0.5)/6*2,(4+$G244)/6)) *
_xlfn.IFS(AI$24-$I244 &lt;=1, 5/6, AI$24-$I244 &lt;=5, (7-(AI$24-$I244))/6, AND(AI$24-$I244 =6,NOT(_xlfn.IFNA(ISNUMBER(SEARCH("Rending",$L244)),FALSE))), (7-(AI$24-$I244))/6, AND(AI$24-$I244 &gt;=7,NOT(_xlfn.IFNA(ISNUMBER(SEARCH("Rending",$L244)),FALSE))), 0, AI$24-$I244 =7, (7-(AI$24-1-$I244))/6, AI$24-$I244 =8, (7-(AI$24-2-$I244))/6*2/3, AI$24-$I244 =9, (7-(AI$24-3-$I244))/6*1/3, TRUE, 0) *
IF(ISNUMBER(SEARCH("Ordinance",$L244)),7/6,1) *
IF(OR(ISNUMBER(SEARCH("Melee",$L244)),ISNUMBER(SEARCH("Bypass",$L244))),1.5,1)</f>
        <v>2</v>
      </c>
      <c r="AJ244" s="17" cm="1">
        <f t="array" ref="AJ244">$H244 *
IF(ISNUMBER(SEARCH("Rapid",$L244)),7/6,1) *
IF(OR(ISNUMBER(SEARCH("Beam",$L244)),ISNUMBER(SEARCH("Firestorm",$L244))),1, IF(ISNUMBER(SEARCH("Blast",$L244)),(4+$G244+(2-$G244)*0.5)/6*2,(4+$G244)/6)) *
_xlfn.IFS(AJ$24-$I244 &lt;=1, 5/6, AJ$24-$I244 &lt;=5, (7-(AJ$24-$I244))/6, AND(AJ$24-$I244 =6,NOT(_xlfn.IFNA(ISNUMBER(SEARCH("Rending",$L244)),FALSE))), (7-(AJ$24-$I244))/6, AND(AJ$24-$I244 &gt;=7,NOT(_xlfn.IFNA(ISNUMBER(SEARCH("Rending",$L244)),FALSE))), 0, AJ$24-$I244 =7, (7-(AJ$24-1-$I244))/6, AJ$24-$I244 =8, (7-(AJ$24-2-$I244))/6*2/3, AJ$24-$I244 =9, (7-(AJ$24-3-$I244))/6*1/3, TRUE, 0) *
IF(ISNUMBER(SEARCH("Ordinance",$L244)),7/6,1) *
IF(OR(ISNUMBER(SEARCH("Melee",$L244)),ISNUMBER(SEARCH("Bypass",$L244))),1.5,1)</f>
        <v>1</v>
      </c>
      <c r="AK244" s="17" cm="1">
        <f t="array" ref="AK244">$H244 *
IF(ISNUMBER(SEARCH("Rapid",$L244)),7/6,1) *
IF(OR(ISNUMBER(SEARCH("Beam",$L244)),ISNUMBER(SEARCH("Firestorm",$L244))),1, IF(ISNUMBER(SEARCH("Blast",$L244)),(4+$G244+(2-$G244)*0.5)/6*2,(4+$G244)/6)) *
_xlfn.IFS(AK$24-$I244 &lt;=1, 5/6, AK$24-$I244 &lt;=5, (7-(AK$24-$I244))/6, AND(AK$24-$I244 =6,NOT(_xlfn.IFNA(ISNUMBER(SEARCH("Rending",$L244)),FALSE))), (7-(AK$24-$I244))/6, AND(AK$24-$I244 &gt;=7,NOT(_xlfn.IFNA(ISNUMBER(SEARCH("Rending",$L244)),FALSE))), 0, AK$24-$I244 =7, (7-(AK$24-1-$I244))/6, AK$24-$I244 =8, (7-(AK$24-2-$I244))/6*2/3, AK$24-$I244 =9, (7-(AK$24-3-$I244))/6*1/3, TRUE, 0) *
IF(ISNUMBER(SEARCH("Ordinance",$L244)),7/6,1) *
IF(OR(ISNUMBER(SEARCH("Melee",$L244)),ISNUMBER(SEARCH("Bypass",$L244))),1.5,1)</f>
        <v>0</v>
      </c>
      <c r="AL244" s="17" cm="1">
        <f t="array" ref="AL244">$H244 *
IF(ISNUMBER(SEARCH("Rapid",$L244)),7/6,1) *
IF(OR(ISNUMBER(SEARCH("Beam",$L244)),ISNUMBER(SEARCH("Firestorm",$L244))),1, IF(ISNUMBER(SEARCH("Blast",$L244)),(4+$G244+(2-$G244)*0.5)/6*2,(4+$G244)/6)) *
_xlfn.IFS(AL$24-$I244 &lt;=1, 5/6, AL$24-$I244 &lt;=5, (7-(AL$24-$I244))/6, AND(AL$24-$I244 =6,NOT(_xlfn.IFNA(ISNUMBER(SEARCH("Rending",$L244)),FALSE))), (7-(AL$24-$I244))/6, AND(AL$24-$I244 &gt;=7,NOT(_xlfn.IFNA(ISNUMBER(SEARCH("Rending",$L244)),FALSE))), 0, AL$24-$I244 =7, (7-(AL$24-1-$I244))/6, AL$24-$I244 =8, (7-(AL$24-2-$I244))/6*2/3, AL$24-$I244 =9, (7-(AL$24-3-$I244))/6*1/3, TRUE, 0) *
IF(ISNUMBER(SEARCH("Ordinance",$L244)),7/6,1) *
IF(OR(ISNUMBER(SEARCH("Melee",$L244)),ISNUMBER(SEARCH("Bypass",$L244))),1.5,1)</f>
        <v>0</v>
      </c>
      <c r="AM244" s="17" cm="1">
        <f t="array" ref="AM244">$H244 *
IF(ISNUMBER(SEARCH("Rapid",$L244)),7/6,1) *
IF(OR(ISNUMBER(SEARCH("Beam",$L244)),ISNUMBER(SEARCH("Firestorm",$L244))),1, IF(ISNUMBER(SEARCH("Blast",$L244)),(4+$G244+(2-$G244)*0.5)/6*2,(4+$G244)/6)) *
_xlfn.IFS(AM$24-$I244 &lt;=1, 5/6, AM$24-$I244 &lt;=5, (7-(AM$24-$I244))/6, AND(AM$24-$I244 =6,NOT(_xlfn.IFNA(ISNUMBER(SEARCH("Rending",$L244)),FALSE))), (7-(AM$24-$I244))/6, AND(AM$24-$I244 &gt;=7,NOT(_xlfn.IFNA(ISNUMBER(SEARCH("Rending",$L244)),FALSE))), 0, AM$24-$I244 =7, (7-(AM$24-1-$I244))/6, AM$24-$I244 =8, (7-(AM$24-2-$I244))/6*2/3, AM$24-$I244 =9, (7-(AM$24-3-$I244))/6*1/3, TRUE, 0) *
IF(ISNUMBER(SEARCH("Ordinance",$L244)),7/6,1) *
IF(OR(ISNUMBER(SEARCH("Melee",$L244)),ISNUMBER(SEARCH("Bypass",$L244))),1.5,1)</f>
        <v>0</v>
      </c>
      <c r="AN244" s="17" cm="1">
        <f t="array" ref="AN244">$H244 *
IF(ISNUMBER(SEARCH("Rapid",$L244)),7/6,1) *
IF(OR(ISNUMBER(SEARCH("Beam",$L244)),ISNUMBER(SEARCH("Firestorm",$L244))),1, IF(ISNUMBER(SEARCH("Blast",$L244)),(4+$G244+(2-$G244)*0.5)/6*2,(4+$G244)/6)) *
_xlfn.IFS(AN$24-$I244 &lt;=1, 5/6, AN$24-$I244 &lt;=5, (7-(AN$24-$I244))/6, AND(AN$24-$I244 =6,NOT(_xlfn.IFNA(ISNUMBER(SEARCH("Rending",$L244)),FALSE))), (7-(AN$24-$I244))/6, AND(AN$24-$I244 &gt;=7,NOT(_xlfn.IFNA(ISNUMBER(SEARCH("Rending",$L244)),FALSE))), 0, AN$24-$I244 =7, (7-(AN$24-1-$I244))/6, AN$24-$I244 =8, (7-(AN$24-2-$I244))/6*2/3, AN$24-$I244 =9, (7-(AN$24-3-$I244))/6*1/3, TRUE, 0) *
IF(ISNUMBER(SEARCH("Ordinance",$L244)),7/6,1) *
IF(OR(ISNUMBER(SEARCH("Melee",$L244)),ISNUMBER(SEARCH("Bypass",$L244))),1.5,1)</f>
        <v>0</v>
      </c>
      <c r="AO244" s="17" cm="1">
        <f t="array" ref="AO244">$H244 *
IF(ISNUMBER(SEARCH("Rapid",$L244)),7/6,1) *
IF(OR(ISNUMBER(SEARCH("Beam",$L244)),ISNUMBER(SEARCH("Firestorm",$L244))),1, IF(ISNUMBER(SEARCH("Blast",$L244)),(4+$G244+(2-$G244)*0.5)/6*2,(4+$G244)/6)) *
_xlfn.IFS(AO$24-$I244 &lt;=1, 5/6, AO$24-$I244 &lt;=5, (7-(AO$24-$I244))/6, AND(AO$24-$I244 =6,NOT(_xlfn.IFNA(ISNUMBER(SEARCH("Rending",$L244)),FALSE))), (7-(AO$24-$I244))/6, AND(AO$24-$I244 &gt;=7,NOT(_xlfn.IFNA(ISNUMBER(SEARCH("Rending",$L244)),FALSE))), 0, AO$24-$I244 =7, (7-(AO$24-1-$I244))/6, AO$24-$I244 =8, (7-(AO$24-2-$I244))/6*2/3, AO$24-$I244 =9, (7-(AO$24-3-$I244))/6*1/3, TRUE, 0) *
IF(ISNUMBER(SEARCH("Ordinance",$L244)),7/6,1) *
IF(OR(ISNUMBER(SEARCH("Melee",$L244)),ISNUMBER(SEARCH("Bypass",$L244))),1.5,1)</f>
        <v>0</v>
      </c>
      <c r="AP244" s="17" cm="1">
        <f t="array" ref="AP244">$H244 *
IF(ISNUMBER(SEARCH("Rapid",$L244)),7/6,1) *
IF(OR(ISNUMBER(SEARCH("Beam",$L244)),ISNUMBER(SEARCH("Firestorm",$L244))),1, IF(ISNUMBER(SEARCH("Blast",$L244)),(4+$G244+(2-$G244)*0.5)/6*2,(4+$G244)/6)) *
_xlfn.IFS(AP$24-$I244 &lt;=1, 5/6, AP$24-$I244 &lt;=5, (7-(AP$24-$I244))/6, AND(AP$24-$I244 =6,NOT(_xlfn.IFNA(ISNUMBER(SEARCH("Rending",$L244)),FALSE))), (7-(AP$24-$I244))/6, AND(AP$24-$I244 &gt;=7,NOT(_xlfn.IFNA(ISNUMBER(SEARCH("Rending",$L244)),FALSE))), 0, AP$24-$I244 =7, (7-(AP$24-1-$I244))/6, AP$24-$I244 =8, (7-(AP$24-2-$I244))/6*2/3, AP$24-$I244 =9, (7-(AP$24-3-$I244))/6*1/3, TRUE, 0) *
IF(ISNUMBER(SEARCH("Ordinance",$L244)),7/6,1) *
IF(OR(ISNUMBER(SEARCH("Melee",$L244)),ISNUMBER(SEARCH("Bypass",$L244))),1.5,1)</f>
        <v>0</v>
      </c>
      <c r="AQ244" s="17" cm="1">
        <f t="array" ref="AQ244">$H244 *
IF(ISNUMBER(SEARCH("Rapid",$L244)),7/6,1) *
IF(OR(ISNUMBER(SEARCH("Beam",$L244)),ISNUMBER(SEARCH("Firestorm",$L244))),1, IF(ISNUMBER(SEARCH("Blast",$L244)),(4+$G244+(2-$G244)*0.5)/6*2,(4+$G244)/6)) *
_xlfn.IFS(AQ$24-$I244 &lt;=1, 5/6, AQ$24-$I244 &lt;=5, (7-(AQ$24-$I244))/6, AND(AQ$24-$I244 =6,NOT(_xlfn.IFNA(ISNUMBER(SEARCH("Rending",$L244)),FALSE))), (7-(AQ$24-$I244))/6, AND(AQ$24-$I244 &gt;=7,NOT(_xlfn.IFNA(ISNUMBER(SEARCH("Rending",$L244)),FALSE))), 0, AQ$24-$I244 =7, (7-(AQ$24-1-$I244))/6, AQ$24-$I244 =8, (7-(AQ$24-2-$I244))/6*2/3, AQ$24-$I244 =9, (7-(AQ$24-3-$I244))/6*1/3, TRUE, 0) *
IF(ISNUMBER(SEARCH("Ordinance",$L244)),7/6,1) *
IF(OR(ISNUMBER(SEARCH("Melee",$L244)),ISNUMBER(SEARCH("Bypass",$L244))),1.5,1)</f>
        <v>0</v>
      </c>
      <c r="AS244" s="16">
        <f t="shared" si="72"/>
        <v>0.73333333333333339</v>
      </c>
      <c r="AT244" s="16">
        <f t="shared" si="73"/>
        <v>1.1000000000000001</v>
      </c>
      <c r="AU244" s="16">
        <f t="shared" si="74"/>
        <v>0.46666666666666662</v>
      </c>
      <c r="AV244" s="2">
        <v>11</v>
      </c>
    </row>
    <row r="245" spans="1:48" x14ac:dyDescent="0.3">
      <c r="A245" t="s">
        <v>828</v>
      </c>
      <c r="B245" s="3">
        <v>8</v>
      </c>
      <c r="C245" s="3">
        <v>16</v>
      </c>
      <c r="D245" s="3">
        <v>1</v>
      </c>
      <c r="E245" s="3">
        <v>1</v>
      </c>
      <c r="F245" s="10"/>
      <c r="G245" s="10"/>
      <c r="H245" s="3">
        <v>6</v>
      </c>
      <c r="I245" s="3">
        <v>5</v>
      </c>
      <c r="J245" s="3" t="s">
        <v>820</v>
      </c>
      <c r="K245" s="3">
        <v>10</v>
      </c>
      <c r="L245" s="3" t="s">
        <v>102</v>
      </c>
      <c r="V245" s="16">
        <f t="shared" si="65"/>
        <v>1.3333333333333333</v>
      </c>
      <c r="W245" s="16">
        <f t="shared" si="66"/>
        <v>2</v>
      </c>
      <c r="X245" s="17" cm="1">
        <f t="array" ref="X245">$H245 *
IF(ISNUMBER(SEARCH("Rapid",$L245)),7/6,1) *
IF(OR(ISNUMBER(SEARCH("Beam",$L245)),ISNUMBER(SEARCH("Firestorm",$L245))),1, IF(ISNUMBER(SEARCH("Blast",$L245)),(4+$F245+(2-$F245)*0.5)/6*2,(4+$F245)/6)) *
IF(ISNUMBER(SEARCH("Fusion",$L245)), _xlfn.IFS(X$24-$I245 &lt;=1, 9/10, X$24-$I245 &lt;=10,(11-(X$24-$I245))/10, X$24-$I245 &gt;=11, 0),
_xlfn.IFS(X$24-$I245 &lt;=1, 5/6, X$24-$I245 &lt;=5, (7-(X$24-$I245))/6, AND(X$24-$I245 =6,NOT(_xlfn.IFNA(ISNUMBER(SEARCH("Rending",$L245)),FALSE))), (7-(X$24-$I245))/6, AND(X$24-$I245 &gt;=7,NOT(_xlfn.IFNA(ISNUMBER(SEARCH("Rending",$L245)),FALSE))), 0, X$24-$I245 =7, (7-(X$24-1-$I245))/6, X$24-$I245 =8, (7-(X$24-2-$I245))/6*2/3, X$24-$I245 =9, (7-(X$24-3-$I245))/6*1/3, TRUE, 0)) *
IF(ISNUMBER(SEARCH("Ordinance",$L245)),7/6,1) *
IF(OR(ISNUMBER(SEARCH("Melee",$L245)),ISNUMBER(SEARCH("Bypass",$L245))),1.5,1)</f>
        <v>2</v>
      </c>
      <c r="Y245" s="17" cm="1">
        <f t="array" ref="Y245">$H245 *
IF(ISNUMBER(SEARCH("Rapid",$L245)),7/6,1) *
IF(OR(ISNUMBER(SEARCH("Beam",$L245)),ISNUMBER(SEARCH("Firestorm",$L245))),1, IF(ISNUMBER(SEARCH("Blast",$L245)),(4+$F245+(2-$F245)*0.5)/6*2,(4+$F245)/6)) *
IF(ISNUMBER(SEARCH("Fusion",$L245)), _xlfn.IFS(Y$24-$I245 &lt;=1, 9/10, Y$24-$I245 &lt;=10,(11-(Y$24-$I245))/10, Y$24-$I245 &gt;=11, 0),
_xlfn.IFS(Y$24-$I245 &lt;=1, 5/6, Y$24-$I245 &lt;=5, (7-(Y$24-$I245))/6, AND(Y$24-$I245 =6,NOT(_xlfn.IFNA(ISNUMBER(SEARCH("Rending",$L245)),FALSE))), (7-(Y$24-$I245))/6, AND(Y$24-$I245 &gt;=7,NOT(_xlfn.IFNA(ISNUMBER(SEARCH("Rending",$L245)),FALSE))), 0, Y$24-$I245 =7, (7-(Y$24-1-$I245))/6, Y$24-$I245 =8, (7-(Y$24-2-$I245))/6*2/3, Y$24-$I245 =9, (7-(Y$24-3-$I245))/6*1/3, TRUE, 0)) *
IF(ISNUMBER(SEARCH("Ordinance",$L245)),7/6,1) *
IF(OR(ISNUMBER(SEARCH("Melee",$L245)),ISNUMBER(SEARCH("Bypass",$L245))),1.5,1)</f>
        <v>1.3333333333333333</v>
      </c>
      <c r="Z245" s="17" cm="1">
        <f t="array" ref="Z245">$H245 *
IF(ISNUMBER(SEARCH("Rapid",$L245)),7/6,1) *
IF(OR(ISNUMBER(SEARCH("Beam",$L245)),ISNUMBER(SEARCH("Firestorm",$L245))),1, IF(ISNUMBER(SEARCH("Blast",$L245)),(4+$F245+(2-$F245)*0.5)/6*2,(4+$F245)/6)) *
IF(ISNUMBER(SEARCH("Fusion",$L245)), _xlfn.IFS(Z$24-$I245 &lt;=1, 9/10, Z$24-$I245 &lt;=10,(11-(Z$24-$I245))/10, Z$24-$I245 &gt;=11, 0),
_xlfn.IFS(Z$24-$I245 &lt;=1, 5/6, Z$24-$I245 &lt;=5, (7-(Z$24-$I245))/6, AND(Z$24-$I245 =6,NOT(_xlfn.IFNA(ISNUMBER(SEARCH("Rending",$L245)),FALSE))), (7-(Z$24-$I245))/6, AND(Z$24-$I245 &gt;=7,NOT(_xlfn.IFNA(ISNUMBER(SEARCH("Rending",$L245)),FALSE))), 0, Z$24-$I245 =7, (7-(Z$24-1-$I245))/6, Z$24-$I245 =8, (7-(Z$24-2-$I245))/6*2/3, Z$24-$I245 =9, (7-(Z$24-3-$I245))/6*1/3, TRUE, 0)) *
IF(ISNUMBER(SEARCH("Ordinance",$L245)),7/6,1) *
IF(OR(ISNUMBER(SEARCH("Melee",$L245)),ISNUMBER(SEARCH("Bypass",$L245))),1.5,1)</f>
        <v>0.66666666666666663</v>
      </c>
      <c r="AA245" s="17" cm="1">
        <f t="array" ref="AA245">$H245 *
IF(ISNUMBER(SEARCH("Rapid",$L245)),7/6,1) *
IF(OR(ISNUMBER(SEARCH("Beam",$L245)),ISNUMBER(SEARCH("Firestorm",$L245))),1, IF(ISNUMBER(SEARCH("Blast",$L245)),(4+$F245+(2-$F245)*0.5)/6*2,(4+$F245)/6)) *
IF(ISNUMBER(SEARCH("Fusion",$L245)), _xlfn.IFS(AA$24-$I245 &lt;=1, 9/10, AA$24-$I245 &lt;=10,(11-(AA$24-$I245))/10, AA$24-$I245 &gt;=11, 0),
_xlfn.IFS(AA$24-$I245 &lt;=1, 5/6, AA$24-$I245 &lt;=5, (7-(AA$24-$I245))/6, AND(AA$24-$I245 =6,NOT(_xlfn.IFNA(ISNUMBER(SEARCH("Rending",$L245)),FALSE))), (7-(AA$24-$I245))/6, AND(AA$24-$I245 &gt;=7,NOT(_xlfn.IFNA(ISNUMBER(SEARCH("Rending",$L245)),FALSE))), 0, AA$24-$I245 =7, (7-(AA$24-1-$I245))/6, AA$24-$I245 =8, (7-(AA$24-2-$I245))/6*2/3, AA$24-$I245 =9, (7-(AA$24-3-$I245))/6*1/3, TRUE, 0)) *
IF(ISNUMBER(SEARCH("Ordinance",$L245)),7/6,1) *
IF(OR(ISNUMBER(SEARCH("Melee",$L245)),ISNUMBER(SEARCH("Bypass",$L245))),1.5,1)</f>
        <v>0</v>
      </c>
      <c r="AB245" s="17" cm="1">
        <f t="array" ref="AB245">$H245 *
IF(ISNUMBER(SEARCH("Rapid",$L245)),7/6,1) *
IF(OR(ISNUMBER(SEARCH("Beam",$L245)),ISNUMBER(SEARCH("Firestorm",$L245))),1, IF(ISNUMBER(SEARCH("Blast",$L245)),(4+$F245+(2-$F245)*0.5)/6*2,(4+$F245)/6)) *
IF(ISNUMBER(SEARCH("Fusion",$L245)), _xlfn.IFS(AB$24-$I245 &lt;=1, 9/10, AB$24-$I245 &lt;=10,(11-(AB$24-$I245))/10, AB$24-$I245 &gt;=11, 0),
_xlfn.IFS(AB$24-$I245 &lt;=1, 5/6, AB$24-$I245 &lt;=5, (7-(AB$24-$I245))/6, AND(AB$24-$I245 =6,NOT(_xlfn.IFNA(ISNUMBER(SEARCH("Rending",$L245)),FALSE))), (7-(AB$24-$I245))/6, AND(AB$24-$I245 &gt;=7,NOT(_xlfn.IFNA(ISNUMBER(SEARCH("Rending",$L245)),FALSE))), 0, AB$24-$I245 =7, (7-(AB$24-1-$I245))/6, AB$24-$I245 =8, (7-(AB$24-2-$I245))/6*2/3, AB$24-$I245 =9, (7-(AB$24-3-$I245))/6*1/3, TRUE, 0)) *
IF(ISNUMBER(SEARCH("Ordinance",$L245)),7/6,1) *
IF(OR(ISNUMBER(SEARCH("Melee",$L245)),ISNUMBER(SEARCH("Bypass",$L245))),1.5,1)</f>
        <v>0</v>
      </c>
      <c r="AC245" s="17" cm="1">
        <f t="array" ref="AC245">$H245 *
IF(ISNUMBER(SEARCH("Rapid",$L245)),7/6,1) *
IF(OR(ISNUMBER(SEARCH("Beam",$L245)),ISNUMBER(SEARCH("Firestorm",$L245))),1, IF(ISNUMBER(SEARCH("Blast",$L245)),(4+$F245+(2-$F245)*0.5)/6*2,(4+$F245)/6)) *
IF(ISNUMBER(SEARCH("Fusion",$L245)), _xlfn.IFS(AC$24-$I245 &lt;=1, 9/10, AC$24-$I245 &lt;=10,(11-(AC$24-$I245))/10, AC$24-$I245 &gt;=11, 0),
_xlfn.IFS(AC$24-$I245 &lt;=1, 5/6, AC$24-$I245 &lt;=5, (7-(AC$24-$I245))/6, AND(AC$24-$I245 =6,NOT(_xlfn.IFNA(ISNUMBER(SEARCH("Rending",$L245)),FALSE))), (7-(AC$24-$I245))/6, AND(AC$24-$I245 &gt;=7,NOT(_xlfn.IFNA(ISNUMBER(SEARCH("Rending",$L245)),FALSE))), 0, AC$24-$I245 =7, (7-(AC$24-1-$I245))/6, AC$24-$I245 =8, (7-(AC$24-2-$I245))/6*2/3, AC$24-$I245 =9, (7-(AC$24-3-$I245))/6*1/3, TRUE, 0)) *
IF(ISNUMBER(SEARCH("Ordinance",$L245)),7/6,1) *
IF(OR(ISNUMBER(SEARCH("Melee",$L245)),ISNUMBER(SEARCH("Bypass",$L245))),1.5,1)</f>
        <v>0</v>
      </c>
      <c r="AD245" s="17" cm="1">
        <f t="array" ref="AD245">$H245 *
IF(ISNUMBER(SEARCH("Rapid",$L245)),7/6,1) *
IF(OR(ISNUMBER(SEARCH("Beam",$L245)),ISNUMBER(SEARCH("Firestorm",$L245))),1, IF(ISNUMBER(SEARCH("Blast",$L245)),(4+$F245+(2-$F245)*0.5)/6*2,(4+$F245)/6)) *
IF(ISNUMBER(SEARCH("Fusion",$L245)), _xlfn.IFS(AD$24-$I245 &lt;=1, 9/10, AD$24-$I245 &lt;=10,(11-(AD$24-$I245))/10, AD$24-$I245 &gt;=11, 0),
_xlfn.IFS(AD$24-$I245 &lt;=1, 5/6, AD$24-$I245 &lt;=5, (7-(AD$24-$I245))/6, AND(AD$24-$I245 =6,NOT(_xlfn.IFNA(ISNUMBER(SEARCH("Rending",$L245)),FALSE))), (7-(AD$24-$I245))/6, AND(AD$24-$I245 &gt;=7,NOT(_xlfn.IFNA(ISNUMBER(SEARCH("Rending",$L245)),FALSE))), 0, AD$24-$I245 =7, (7-(AD$24-1-$I245))/6, AD$24-$I245 =8, (7-(AD$24-2-$I245))/6*2/3, AD$24-$I245 =9, (7-(AD$24-3-$I245))/6*1/3, TRUE, 0)) *
IF(ISNUMBER(SEARCH("Ordinance",$L245)),7/6,1) *
IF(OR(ISNUMBER(SEARCH("Melee",$L245)),ISNUMBER(SEARCH("Bypass",$L245))),1.5,1)</f>
        <v>0</v>
      </c>
      <c r="AE245" s="17" cm="1">
        <f t="array" ref="AE245">$H245 *
IF(ISNUMBER(SEARCH("Rapid",$L245)),7/6,1) *
IF(OR(ISNUMBER(SEARCH("Beam",$L245)),ISNUMBER(SEARCH("Firestorm",$L245))),1, IF(ISNUMBER(SEARCH("Blast",$L245)),(4+$F245+(2-$F245)*0.5)/6*2,(4+$F245)/6)) *
IF(ISNUMBER(SEARCH("Fusion",$L245)), _xlfn.IFS(AE$24-$I245 &lt;=1, 9/10, AE$24-$I245 &lt;=10,(11-(AE$24-$I245))/10, AE$24-$I245 &gt;=11, 0),
_xlfn.IFS(AE$24-$I245 &lt;=1, 5/6, AE$24-$I245 &lt;=5, (7-(AE$24-$I245))/6, AND(AE$24-$I245 =6,NOT(_xlfn.IFNA(ISNUMBER(SEARCH("Rending",$L245)),FALSE))), (7-(AE$24-$I245))/6, AND(AE$24-$I245 &gt;=7,NOT(_xlfn.IFNA(ISNUMBER(SEARCH("Rending",$L245)),FALSE))), 0, AE$24-$I245 =7, (7-(AE$24-1-$I245))/6, AE$24-$I245 =8, (7-(AE$24-2-$I245))/6*2/3, AE$24-$I245 =9, (7-(AE$24-3-$I245))/6*1/3, TRUE, 0)) *
IF(ISNUMBER(SEARCH("Ordinance",$L245)),7/6,1) *
IF(OR(ISNUMBER(SEARCH("Melee",$L245)),ISNUMBER(SEARCH("Bypass",$L245))),1.5,1)</f>
        <v>0</v>
      </c>
      <c r="AF245" s="17" cm="1">
        <f t="array" ref="AF245">$H245 *
IF(ISNUMBER(SEARCH("Rapid",$L245)),7/6,1) *
IF(OR(ISNUMBER(SEARCH("Beam",$L245)),ISNUMBER(SEARCH("Firestorm",$L245))),1, IF(ISNUMBER(SEARCH("Blast",$L245)),(4+$F245+(2-$F245)*0.5)/6*2,(4+$F245)/6)) *
IF(ISNUMBER(SEARCH("Fusion",$L245)), _xlfn.IFS(AF$24-$I245 &lt;=1, 9/10, AF$24-$I245 &lt;=10,(11-(AF$24-$I245))/10, AF$24-$I245 &gt;=11, 0),
_xlfn.IFS(AF$24-$I245 &lt;=1, 5/6, AF$24-$I245 &lt;=5, (7-(AF$24-$I245))/6, AND(AF$24-$I245 =6,NOT(_xlfn.IFNA(ISNUMBER(SEARCH("Rending",$L245)),FALSE))), (7-(AF$24-$I245))/6, AND(AF$24-$I245 &gt;=7,NOT(_xlfn.IFNA(ISNUMBER(SEARCH("Rending",$L245)),FALSE))), 0, AF$24-$I245 =7, (7-(AF$24-1-$I245))/6, AF$24-$I245 =8, (7-(AF$24-2-$I245))/6*2/3, AF$24-$I245 =9, (7-(AF$24-3-$I245))/6*1/3, TRUE, 0)) *
IF(ISNUMBER(SEARCH("Ordinance",$L245)),7/6,1) *
IF(OR(ISNUMBER(SEARCH("Melee",$L245)),ISNUMBER(SEARCH("Bypass",$L245))),1.5,1)</f>
        <v>0</v>
      </c>
      <c r="AG245" s="16">
        <f t="shared" si="67"/>
        <v>1.3333333333333333</v>
      </c>
      <c r="AH245" s="16">
        <f t="shared" si="68"/>
        <v>2</v>
      </c>
      <c r="AI245" s="17" cm="1">
        <f t="array" ref="AI245">$H245 *
IF(ISNUMBER(SEARCH("Rapid",$L245)),7/6,1) *
IF(OR(ISNUMBER(SEARCH("Beam",$L245)),ISNUMBER(SEARCH("Firestorm",$L245))),1, IF(ISNUMBER(SEARCH("Blast",$L245)),(4+$G245+(2-$G245)*0.5)/6*2,(4+$G245)/6)) *
_xlfn.IFS(AI$24-$I245 &lt;=1, 5/6, AI$24-$I245 &lt;=5, (7-(AI$24-$I245))/6, AND(AI$24-$I245 =6,NOT(_xlfn.IFNA(ISNUMBER(SEARCH("Rending",$L245)),FALSE))), (7-(AI$24-$I245))/6, AND(AI$24-$I245 &gt;=7,NOT(_xlfn.IFNA(ISNUMBER(SEARCH("Rending",$L245)),FALSE))), 0, AI$24-$I245 =7, (7-(AI$24-1-$I245))/6, AI$24-$I245 =8, (7-(AI$24-2-$I245))/6*2/3, AI$24-$I245 =9, (7-(AI$24-3-$I245))/6*1/3, TRUE, 0) *
IF(ISNUMBER(SEARCH("Ordinance",$L245)),7/6,1) *
IF(OR(ISNUMBER(SEARCH("Melee",$L245)),ISNUMBER(SEARCH("Bypass",$L245))),1.5,1)</f>
        <v>2</v>
      </c>
      <c r="AJ245" s="17" cm="1">
        <f t="array" ref="AJ245">$H245 *
IF(ISNUMBER(SEARCH("Rapid",$L245)),7/6,1) *
IF(OR(ISNUMBER(SEARCH("Beam",$L245)),ISNUMBER(SEARCH("Firestorm",$L245))),1, IF(ISNUMBER(SEARCH("Blast",$L245)),(4+$G245+(2-$G245)*0.5)/6*2,(4+$G245)/6)) *
_xlfn.IFS(AJ$24-$I245 &lt;=1, 5/6, AJ$24-$I245 &lt;=5, (7-(AJ$24-$I245))/6, AND(AJ$24-$I245 =6,NOT(_xlfn.IFNA(ISNUMBER(SEARCH("Rending",$L245)),FALSE))), (7-(AJ$24-$I245))/6, AND(AJ$24-$I245 &gt;=7,NOT(_xlfn.IFNA(ISNUMBER(SEARCH("Rending",$L245)),FALSE))), 0, AJ$24-$I245 =7, (7-(AJ$24-1-$I245))/6, AJ$24-$I245 =8, (7-(AJ$24-2-$I245))/6*2/3, AJ$24-$I245 =9, (7-(AJ$24-3-$I245))/6*1/3, TRUE, 0) *
IF(ISNUMBER(SEARCH("Ordinance",$L245)),7/6,1) *
IF(OR(ISNUMBER(SEARCH("Melee",$L245)),ISNUMBER(SEARCH("Bypass",$L245))),1.5,1)</f>
        <v>1.3333333333333333</v>
      </c>
      <c r="AK245" s="17" cm="1">
        <f t="array" ref="AK245">$H245 *
IF(ISNUMBER(SEARCH("Rapid",$L245)),7/6,1) *
IF(OR(ISNUMBER(SEARCH("Beam",$L245)),ISNUMBER(SEARCH("Firestorm",$L245))),1, IF(ISNUMBER(SEARCH("Blast",$L245)),(4+$G245+(2-$G245)*0.5)/6*2,(4+$G245)/6)) *
_xlfn.IFS(AK$24-$I245 &lt;=1, 5/6, AK$24-$I245 &lt;=5, (7-(AK$24-$I245))/6, AND(AK$24-$I245 =6,NOT(_xlfn.IFNA(ISNUMBER(SEARCH("Rending",$L245)),FALSE))), (7-(AK$24-$I245))/6, AND(AK$24-$I245 &gt;=7,NOT(_xlfn.IFNA(ISNUMBER(SEARCH("Rending",$L245)),FALSE))), 0, AK$24-$I245 =7, (7-(AK$24-1-$I245))/6, AK$24-$I245 =8, (7-(AK$24-2-$I245))/6*2/3, AK$24-$I245 =9, (7-(AK$24-3-$I245))/6*1/3, TRUE, 0) *
IF(ISNUMBER(SEARCH("Ordinance",$L245)),7/6,1) *
IF(OR(ISNUMBER(SEARCH("Melee",$L245)),ISNUMBER(SEARCH("Bypass",$L245))),1.5,1)</f>
        <v>0.66666666666666663</v>
      </c>
      <c r="AL245" s="17" cm="1">
        <f t="array" ref="AL245">$H245 *
IF(ISNUMBER(SEARCH("Rapid",$L245)),7/6,1) *
IF(OR(ISNUMBER(SEARCH("Beam",$L245)),ISNUMBER(SEARCH("Firestorm",$L245))),1, IF(ISNUMBER(SEARCH("Blast",$L245)),(4+$G245+(2-$G245)*0.5)/6*2,(4+$G245)/6)) *
_xlfn.IFS(AL$24-$I245 &lt;=1, 5/6, AL$24-$I245 &lt;=5, (7-(AL$24-$I245))/6, AND(AL$24-$I245 =6,NOT(_xlfn.IFNA(ISNUMBER(SEARCH("Rending",$L245)),FALSE))), (7-(AL$24-$I245))/6, AND(AL$24-$I245 &gt;=7,NOT(_xlfn.IFNA(ISNUMBER(SEARCH("Rending",$L245)),FALSE))), 0, AL$24-$I245 =7, (7-(AL$24-1-$I245))/6, AL$24-$I245 =8, (7-(AL$24-2-$I245))/6*2/3, AL$24-$I245 =9, (7-(AL$24-3-$I245))/6*1/3, TRUE, 0) *
IF(ISNUMBER(SEARCH("Ordinance",$L245)),7/6,1) *
IF(OR(ISNUMBER(SEARCH("Melee",$L245)),ISNUMBER(SEARCH("Bypass",$L245))),1.5,1)</f>
        <v>0</v>
      </c>
      <c r="AM245" s="17" cm="1">
        <f t="array" ref="AM245">$H245 *
IF(ISNUMBER(SEARCH("Rapid",$L245)),7/6,1) *
IF(OR(ISNUMBER(SEARCH("Beam",$L245)),ISNUMBER(SEARCH("Firestorm",$L245))),1, IF(ISNUMBER(SEARCH("Blast",$L245)),(4+$G245+(2-$G245)*0.5)/6*2,(4+$G245)/6)) *
_xlfn.IFS(AM$24-$I245 &lt;=1, 5/6, AM$24-$I245 &lt;=5, (7-(AM$24-$I245))/6, AND(AM$24-$I245 =6,NOT(_xlfn.IFNA(ISNUMBER(SEARCH("Rending",$L245)),FALSE))), (7-(AM$24-$I245))/6, AND(AM$24-$I245 &gt;=7,NOT(_xlfn.IFNA(ISNUMBER(SEARCH("Rending",$L245)),FALSE))), 0, AM$24-$I245 =7, (7-(AM$24-1-$I245))/6, AM$24-$I245 =8, (7-(AM$24-2-$I245))/6*2/3, AM$24-$I245 =9, (7-(AM$24-3-$I245))/6*1/3, TRUE, 0) *
IF(ISNUMBER(SEARCH("Ordinance",$L245)),7/6,1) *
IF(OR(ISNUMBER(SEARCH("Melee",$L245)),ISNUMBER(SEARCH("Bypass",$L245))),1.5,1)</f>
        <v>0</v>
      </c>
      <c r="AN245" s="17" cm="1">
        <f t="array" ref="AN245">$H245 *
IF(ISNUMBER(SEARCH("Rapid",$L245)),7/6,1) *
IF(OR(ISNUMBER(SEARCH("Beam",$L245)),ISNUMBER(SEARCH("Firestorm",$L245))),1, IF(ISNUMBER(SEARCH("Blast",$L245)),(4+$G245+(2-$G245)*0.5)/6*2,(4+$G245)/6)) *
_xlfn.IFS(AN$24-$I245 &lt;=1, 5/6, AN$24-$I245 &lt;=5, (7-(AN$24-$I245))/6, AND(AN$24-$I245 =6,NOT(_xlfn.IFNA(ISNUMBER(SEARCH("Rending",$L245)),FALSE))), (7-(AN$24-$I245))/6, AND(AN$24-$I245 &gt;=7,NOT(_xlfn.IFNA(ISNUMBER(SEARCH("Rending",$L245)),FALSE))), 0, AN$24-$I245 =7, (7-(AN$24-1-$I245))/6, AN$24-$I245 =8, (7-(AN$24-2-$I245))/6*2/3, AN$24-$I245 =9, (7-(AN$24-3-$I245))/6*1/3, TRUE, 0) *
IF(ISNUMBER(SEARCH("Ordinance",$L245)),7/6,1) *
IF(OR(ISNUMBER(SEARCH("Melee",$L245)),ISNUMBER(SEARCH("Bypass",$L245))),1.5,1)</f>
        <v>0</v>
      </c>
      <c r="AO245" s="17" cm="1">
        <f t="array" ref="AO245">$H245 *
IF(ISNUMBER(SEARCH("Rapid",$L245)),7/6,1) *
IF(OR(ISNUMBER(SEARCH("Beam",$L245)),ISNUMBER(SEARCH("Firestorm",$L245))),1, IF(ISNUMBER(SEARCH("Blast",$L245)),(4+$G245+(2-$G245)*0.5)/6*2,(4+$G245)/6)) *
_xlfn.IFS(AO$24-$I245 &lt;=1, 5/6, AO$24-$I245 &lt;=5, (7-(AO$24-$I245))/6, AND(AO$24-$I245 =6,NOT(_xlfn.IFNA(ISNUMBER(SEARCH("Rending",$L245)),FALSE))), (7-(AO$24-$I245))/6, AND(AO$24-$I245 &gt;=7,NOT(_xlfn.IFNA(ISNUMBER(SEARCH("Rending",$L245)),FALSE))), 0, AO$24-$I245 =7, (7-(AO$24-1-$I245))/6, AO$24-$I245 =8, (7-(AO$24-2-$I245))/6*2/3, AO$24-$I245 =9, (7-(AO$24-3-$I245))/6*1/3, TRUE, 0) *
IF(ISNUMBER(SEARCH("Ordinance",$L245)),7/6,1) *
IF(OR(ISNUMBER(SEARCH("Melee",$L245)),ISNUMBER(SEARCH("Bypass",$L245))),1.5,1)</f>
        <v>0</v>
      </c>
      <c r="AP245" s="17" cm="1">
        <f t="array" ref="AP245">$H245 *
IF(ISNUMBER(SEARCH("Rapid",$L245)),7/6,1) *
IF(OR(ISNUMBER(SEARCH("Beam",$L245)),ISNUMBER(SEARCH("Firestorm",$L245))),1, IF(ISNUMBER(SEARCH("Blast",$L245)),(4+$G245+(2-$G245)*0.5)/6*2,(4+$G245)/6)) *
_xlfn.IFS(AP$24-$I245 &lt;=1, 5/6, AP$24-$I245 &lt;=5, (7-(AP$24-$I245))/6, AND(AP$24-$I245 =6,NOT(_xlfn.IFNA(ISNUMBER(SEARCH("Rending",$L245)),FALSE))), (7-(AP$24-$I245))/6, AND(AP$24-$I245 &gt;=7,NOT(_xlfn.IFNA(ISNUMBER(SEARCH("Rending",$L245)),FALSE))), 0, AP$24-$I245 =7, (7-(AP$24-1-$I245))/6, AP$24-$I245 =8, (7-(AP$24-2-$I245))/6*2/3, AP$24-$I245 =9, (7-(AP$24-3-$I245))/6*1/3, TRUE, 0) *
IF(ISNUMBER(SEARCH("Ordinance",$L245)),7/6,1) *
IF(OR(ISNUMBER(SEARCH("Melee",$L245)),ISNUMBER(SEARCH("Bypass",$L245))),1.5,1)</f>
        <v>0</v>
      </c>
      <c r="AQ245" s="17" cm="1">
        <f t="array" ref="AQ245">$H245 *
IF(ISNUMBER(SEARCH("Rapid",$L245)),7/6,1) *
IF(OR(ISNUMBER(SEARCH("Beam",$L245)),ISNUMBER(SEARCH("Firestorm",$L245))),1, IF(ISNUMBER(SEARCH("Blast",$L245)),(4+$G245+(2-$G245)*0.5)/6*2,(4+$G245)/6)) *
_xlfn.IFS(AQ$24-$I245 &lt;=1, 5/6, AQ$24-$I245 &lt;=5, (7-(AQ$24-$I245))/6, AND(AQ$24-$I245 =6,NOT(_xlfn.IFNA(ISNUMBER(SEARCH("Rending",$L245)),FALSE))), (7-(AQ$24-$I245))/6, AND(AQ$24-$I245 &gt;=7,NOT(_xlfn.IFNA(ISNUMBER(SEARCH("Rending",$L245)),FALSE))), 0, AQ$24-$I245 =7, (7-(AQ$24-1-$I245))/6, AQ$24-$I245 =8, (7-(AQ$24-2-$I245))/6*2/3, AQ$24-$I245 =9, (7-(AQ$24-3-$I245))/6*1/3, TRUE, 0) *
IF(ISNUMBER(SEARCH("Ordinance",$L245)),7/6,1) *
IF(OR(ISNUMBER(SEARCH("Melee",$L245)),ISNUMBER(SEARCH("Bypass",$L245))),1.5,1)</f>
        <v>0</v>
      </c>
      <c r="AS245" s="16">
        <f t="shared" si="72"/>
        <v>1.3333333333333333</v>
      </c>
      <c r="AT245" s="16">
        <f t="shared" si="73"/>
        <v>2</v>
      </c>
      <c r="AU245" s="16">
        <f t="shared" si="74"/>
        <v>1.0333333333333332</v>
      </c>
      <c r="AV245" s="2">
        <v>11</v>
      </c>
    </row>
    <row r="246" spans="1:48" x14ac:dyDescent="0.3">
      <c r="F246" s="10"/>
      <c r="G246" s="10"/>
      <c r="V246" s="16">
        <f t="shared" si="65"/>
        <v>0</v>
      </c>
      <c r="W246" s="16">
        <f t="shared" si="66"/>
        <v>0</v>
      </c>
      <c r="X246" s="17" cm="1">
        <f t="array" ref="X246">$H246 *
IF(ISNUMBER(SEARCH("Rapid",$L246)),7/6,1) *
IF(OR(ISNUMBER(SEARCH("Beam",$L246)),ISNUMBER(SEARCH("Firestorm",$L246))),1, IF(ISNUMBER(SEARCH("Blast",$L246)),(4+$F246+(2-$F246)*0.5)/6*2,(4+$F246)/6)) *
IF(ISNUMBER(SEARCH("Fusion",$L246)), _xlfn.IFS(X$24-$I246 &lt;=1, 9/10, X$24-$I246 &lt;=10,(11-(X$24-$I246))/10, X$24-$I246 &gt;=11, 0),
_xlfn.IFS(X$24-$I246 &lt;=1, 5/6, X$24-$I246 &lt;=5, (7-(X$24-$I246))/6, AND(X$24-$I246 =6,NOT(_xlfn.IFNA(ISNUMBER(SEARCH("Rending",$L246)),FALSE))), (7-(X$24-$I246))/6, AND(X$24-$I246 &gt;=7,NOT(_xlfn.IFNA(ISNUMBER(SEARCH("Rending",$L246)),FALSE))), 0, X$24-$I246 =7, (7-(X$24-1-$I246))/6, X$24-$I246 =8, (7-(X$24-2-$I246))/6*2/3, X$24-$I246 =9, (7-(X$24-3-$I246))/6*1/3, TRUE, 0)) *
IF(ISNUMBER(SEARCH("Ordinance",$L246)),7/6,1) *
IF(OR(ISNUMBER(SEARCH("Melee",$L246)),ISNUMBER(SEARCH("Bypass",$L246))),1.5,1)</f>
        <v>0</v>
      </c>
      <c r="Y246" s="17" cm="1">
        <f t="array" ref="Y246">$H246 *
IF(ISNUMBER(SEARCH("Rapid",$L246)),7/6,1) *
IF(OR(ISNUMBER(SEARCH("Beam",$L246)),ISNUMBER(SEARCH("Firestorm",$L246))),1, IF(ISNUMBER(SEARCH("Blast",$L246)),(4+$F246+(2-$F246)*0.5)/6*2,(4+$F246)/6)) *
IF(ISNUMBER(SEARCH("Fusion",$L246)), _xlfn.IFS(Y$24-$I246 &lt;=1, 9/10, Y$24-$I246 &lt;=10,(11-(Y$24-$I246))/10, Y$24-$I246 &gt;=11, 0),
_xlfn.IFS(Y$24-$I246 &lt;=1, 5/6, Y$24-$I246 &lt;=5, (7-(Y$24-$I246))/6, AND(Y$24-$I246 =6,NOT(_xlfn.IFNA(ISNUMBER(SEARCH("Rending",$L246)),FALSE))), (7-(Y$24-$I246))/6, AND(Y$24-$I246 &gt;=7,NOT(_xlfn.IFNA(ISNUMBER(SEARCH("Rending",$L246)),FALSE))), 0, Y$24-$I246 =7, (7-(Y$24-1-$I246))/6, Y$24-$I246 =8, (7-(Y$24-2-$I246))/6*2/3, Y$24-$I246 =9, (7-(Y$24-3-$I246))/6*1/3, TRUE, 0)) *
IF(ISNUMBER(SEARCH("Ordinance",$L246)),7/6,1) *
IF(OR(ISNUMBER(SEARCH("Melee",$L246)),ISNUMBER(SEARCH("Bypass",$L246))),1.5,1)</f>
        <v>0</v>
      </c>
      <c r="Z246" s="17" cm="1">
        <f t="array" ref="Z246">$H246 *
IF(ISNUMBER(SEARCH("Rapid",$L246)),7/6,1) *
IF(OR(ISNUMBER(SEARCH("Beam",$L246)),ISNUMBER(SEARCH("Firestorm",$L246))),1, IF(ISNUMBER(SEARCH("Blast",$L246)),(4+$F246+(2-$F246)*0.5)/6*2,(4+$F246)/6)) *
IF(ISNUMBER(SEARCH("Fusion",$L246)), _xlfn.IFS(Z$24-$I246 &lt;=1, 9/10, Z$24-$I246 &lt;=10,(11-(Z$24-$I246))/10, Z$24-$I246 &gt;=11, 0),
_xlfn.IFS(Z$24-$I246 &lt;=1, 5/6, Z$24-$I246 &lt;=5, (7-(Z$24-$I246))/6, AND(Z$24-$I246 =6,NOT(_xlfn.IFNA(ISNUMBER(SEARCH("Rending",$L246)),FALSE))), (7-(Z$24-$I246))/6, AND(Z$24-$I246 &gt;=7,NOT(_xlfn.IFNA(ISNUMBER(SEARCH("Rending",$L246)),FALSE))), 0, Z$24-$I246 =7, (7-(Z$24-1-$I246))/6, Z$24-$I246 =8, (7-(Z$24-2-$I246))/6*2/3, Z$24-$I246 =9, (7-(Z$24-3-$I246))/6*1/3, TRUE, 0)) *
IF(ISNUMBER(SEARCH("Ordinance",$L246)),7/6,1) *
IF(OR(ISNUMBER(SEARCH("Melee",$L246)),ISNUMBER(SEARCH("Bypass",$L246))),1.5,1)</f>
        <v>0</v>
      </c>
      <c r="AA246" s="17" cm="1">
        <f t="array" ref="AA246">$H246 *
IF(ISNUMBER(SEARCH("Rapid",$L246)),7/6,1) *
IF(OR(ISNUMBER(SEARCH("Beam",$L246)),ISNUMBER(SEARCH("Firestorm",$L246))),1, IF(ISNUMBER(SEARCH("Blast",$L246)),(4+$F246+(2-$F246)*0.5)/6*2,(4+$F246)/6)) *
IF(ISNUMBER(SEARCH("Fusion",$L246)), _xlfn.IFS(AA$24-$I246 &lt;=1, 9/10, AA$24-$I246 &lt;=10,(11-(AA$24-$I246))/10, AA$24-$I246 &gt;=11, 0),
_xlfn.IFS(AA$24-$I246 &lt;=1, 5/6, AA$24-$I246 &lt;=5, (7-(AA$24-$I246))/6, AND(AA$24-$I246 =6,NOT(_xlfn.IFNA(ISNUMBER(SEARCH("Rending",$L246)),FALSE))), (7-(AA$24-$I246))/6, AND(AA$24-$I246 &gt;=7,NOT(_xlfn.IFNA(ISNUMBER(SEARCH("Rending",$L246)),FALSE))), 0, AA$24-$I246 =7, (7-(AA$24-1-$I246))/6, AA$24-$I246 =8, (7-(AA$24-2-$I246))/6*2/3, AA$24-$I246 =9, (7-(AA$24-3-$I246))/6*1/3, TRUE, 0)) *
IF(ISNUMBER(SEARCH("Ordinance",$L246)),7/6,1) *
IF(OR(ISNUMBER(SEARCH("Melee",$L246)),ISNUMBER(SEARCH("Bypass",$L246))),1.5,1)</f>
        <v>0</v>
      </c>
      <c r="AB246" s="17" cm="1">
        <f t="array" ref="AB246">$H246 *
IF(ISNUMBER(SEARCH("Rapid",$L246)),7/6,1) *
IF(OR(ISNUMBER(SEARCH("Beam",$L246)),ISNUMBER(SEARCH("Firestorm",$L246))),1, IF(ISNUMBER(SEARCH("Blast",$L246)),(4+$F246+(2-$F246)*0.5)/6*2,(4+$F246)/6)) *
IF(ISNUMBER(SEARCH("Fusion",$L246)), _xlfn.IFS(AB$24-$I246 &lt;=1, 9/10, AB$24-$I246 &lt;=10,(11-(AB$24-$I246))/10, AB$24-$I246 &gt;=11, 0),
_xlfn.IFS(AB$24-$I246 &lt;=1, 5/6, AB$24-$I246 &lt;=5, (7-(AB$24-$I246))/6, AND(AB$24-$I246 =6,NOT(_xlfn.IFNA(ISNUMBER(SEARCH("Rending",$L246)),FALSE))), (7-(AB$24-$I246))/6, AND(AB$24-$I246 &gt;=7,NOT(_xlfn.IFNA(ISNUMBER(SEARCH("Rending",$L246)),FALSE))), 0, AB$24-$I246 =7, (7-(AB$24-1-$I246))/6, AB$24-$I246 =8, (7-(AB$24-2-$I246))/6*2/3, AB$24-$I246 =9, (7-(AB$24-3-$I246))/6*1/3, TRUE, 0)) *
IF(ISNUMBER(SEARCH("Ordinance",$L246)),7/6,1) *
IF(OR(ISNUMBER(SEARCH("Melee",$L246)),ISNUMBER(SEARCH("Bypass",$L246))),1.5,1)</f>
        <v>0</v>
      </c>
      <c r="AC246" s="17" cm="1">
        <f t="array" ref="AC246">$H246 *
IF(ISNUMBER(SEARCH("Rapid",$L246)),7/6,1) *
IF(OR(ISNUMBER(SEARCH("Beam",$L246)),ISNUMBER(SEARCH("Firestorm",$L246))),1, IF(ISNUMBER(SEARCH("Blast",$L246)),(4+$F246+(2-$F246)*0.5)/6*2,(4+$F246)/6)) *
IF(ISNUMBER(SEARCH("Fusion",$L246)), _xlfn.IFS(AC$24-$I246 &lt;=1, 9/10, AC$24-$I246 &lt;=10,(11-(AC$24-$I246))/10, AC$24-$I246 &gt;=11, 0),
_xlfn.IFS(AC$24-$I246 &lt;=1, 5/6, AC$24-$I246 &lt;=5, (7-(AC$24-$I246))/6, AND(AC$24-$I246 =6,NOT(_xlfn.IFNA(ISNUMBER(SEARCH("Rending",$L246)),FALSE))), (7-(AC$24-$I246))/6, AND(AC$24-$I246 &gt;=7,NOT(_xlfn.IFNA(ISNUMBER(SEARCH("Rending",$L246)),FALSE))), 0, AC$24-$I246 =7, (7-(AC$24-1-$I246))/6, AC$24-$I246 =8, (7-(AC$24-2-$I246))/6*2/3, AC$24-$I246 =9, (7-(AC$24-3-$I246))/6*1/3, TRUE, 0)) *
IF(ISNUMBER(SEARCH("Ordinance",$L246)),7/6,1) *
IF(OR(ISNUMBER(SEARCH("Melee",$L246)),ISNUMBER(SEARCH("Bypass",$L246))),1.5,1)</f>
        <v>0</v>
      </c>
      <c r="AD246" s="17" cm="1">
        <f t="array" ref="AD246">$H246 *
IF(ISNUMBER(SEARCH("Rapid",$L246)),7/6,1) *
IF(OR(ISNUMBER(SEARCH("Beam",$L246)),ISNUMBER(SEARCH("Firestorm",$L246))),1, IF(ISNUMBER(SEARCH("Blast",$L246)),(4+$F246+(2-$F246)*0.5)/6*2,(4+$F246)/6)) *
IF(ISNUMBER(SEARCH("Fusion",$L246)), _xlfn.IFS(AD$24-$I246 &lt;=1, 9/10, AD$24-$I246 &lt;=10,(11-(AD$24-$I246))/10, AD$24-$I246 &gt;=11, 0),
_xlfn.IFS(AD$24-$I246 &lt;=1, 5/6, AD$24-$I246 &lt;=5, (7-(AD$24-$I246))/6, AND(AD$24-$I246 =6,NOT(_xlfn.IFNA(ISNUMBER(SEARCH("Rending",$L246)),FALSE))), (7-(AD$24-$I246))/6, AND(AD$24-$I246 &gt;=7,NOT(_xlfn.IFNA(ISNUMBER(SEARCH("Rending",$L246)),FALSE))), 0, AD$24-$I246 =7, (7-(AD$24-1-$I246))/6, AD$24-$I246 =8, (7-(AD$24-2-$I246))/6*2/3, AD$24-$I246 =9, (7-(AD$24-3-$I246))/6*1/3, TRUE, 0)) *
IF(ISNUMBER(SEARCH("Ordinance",$L246)),7/6,1) *
IF(OR(ISNUMBER(SEARCH("Melee",$L246)),ISNUMBER(SEARCH("Bypass",$L246))),1.5,1)</f>
        <v>0</v>
      </c>
      <c r="AE246" s="17" cm="1">
        <f t="array" ref="AE246">$H246 *
IF(ISNUMBER(SEARCH("Rapid",$L246)),7/6,1) *
IF(OR(ISNUMBER(SEARCH("Beam",$L246)),ISNUMBER(SEARCH("Firestorm",$L246))),1, IF(ISNUMBER(SEARCH("Blast",$L246)),(4+$F246+(2-$F246)*0.5)/6*2,(4+$F246)/6)) *
IF(ISNUMBER(SEARCH("Fusion",$L246)), _xlfn.IFS(AE$24-$I246 &lt;=1, 9/10, AE$24-$I246 &lt;=10,(11-(AE$24-$I246))/10, AE$24-$I246 &gt;=11, 0),
_xlfn.IFS(AE$24-$I246 &lt;=1, 5/6, AE$24-$I246 &lt;=5, (7-(AE$24-$I246))/6, AND(AE$24-$I246 =6,NOT(_xlfn.IFNA(ISNUMBER(SEARCH("Rending",$L246)),FALSE))), (7-(AE$24-$I246))/6, AND(AE$24-$I246 &gt;=7,NOT(_xlfn.IFNA(ISNUMBER(SEARCH("Rending",$L246)),FALSE))), 0, AE$24-$I246 =7, (7-(AE$24-1-$I246))/6, AE$24-$I246 =8, (7-(AE$24-2-$I246))/6*2/3, AE$24-$I246 =9, (7-(AE$24-3-$I246))/6*1/3, TRUE, 0)) *
IF(ISNUMBER(SEARCH("Ordinance",$L246)),7/6,1) *
IF(OR(ISNUMBER(SEARCH("Melee",$L246)),ISNUMBER(SEARCH("Bypass",$L246))),1.5,1)</f>
        <v>0</v>
      </c>
      <c r="AF246" s="17" cm="1">
        <f t="array" ref="AF246">$H246 *
IF(ISNUMBER(SEARCH("Rapid",$L246)),7/6,1) *
IF(OR(ISNUMBER(SEARCH("Beam",$L246)),ISNUMBER(SEARCH("Firestorm",$L246))),1, IF(ISNUMBER(SEARCH("Blast",$L246)),(4+$F246+(2-$F246)*0.5)/6*2,(4+$F246)/6)) *
IF(ISNUMBER(SEARCH("Fusion",$L246)), _xlfn.IFS(AF$24-$I246 &lt;=1, 9/10, AF$24-$I246 &lt;=10,(11-(AF$24-$I246))/10, AF$24-$I246 &gt;=11, 0),
_xlfn.IFS(AF$24-$I246 &lt;=1, 5/6, AF$24-$I246 &lt;=5, (7-(AF$24-$I246))/6, AND(AF$24-$I246 =6,NOT(_xlfn.IFNA(ISNUMBER(SEARCH("Rending",$L246)),FALSE))), (7-(AF$24-$I246))/6, AND(AF$24-$I246 &gt;=7,NOT(_xlfn.IFNA(ISNUMBER(SEARCH("Rending",$L246)),FALSE))), 0, AF$24-$I246 =7, (7-(AF$24-1-$I246))/6, AF$24-$I246 =8, (7-(AF$24-2-$I246))/6*2/3, AF$24-$I246 =9, (7-(AF$24-3-$I246))/6*1/3, TRUE, 0)) *
IF(ISNUMBER(SEARCH("Ordinance",$L246)),7/6,1) *
IF(OR(ISNUMBER(SEARCH("Melee",$L246)),ISNUMBER(SEARCH("Bypass",$L246))),1.5,1)</f>
        <v>0</v>
      </c>
      <c r="AG246" s="16">
        <f t="shared" si="67"/>
        <v>0</v>
      </c>
      <c r="AH246" s="16">
        <f t="shared" si="68"/>
        <v>0</v>
      </c>
      <c r="AI246" s="17" cm="1">
        <f t="array" ref="AI246">$H246 *
IF(ISNUMBER(SEARCH("Rapid",$L246)),7/6,1) *
IF(OR(ISNUMBER(SEARCH("Beam",$L246)),ISNUMBER(SEARCH("Firestorm",$L246))),1, IF(ISNUMBER(SEARCH("Blast",$L246)),(4+$G246+(2-$G246)*0.5)/6*2,(4+$G246)/6)) *
_xlfn.IFS(AI$24-$I246 &lt;=1, 5/6, AI$24-$I246 &lt;=5, (7-(AI$24-$I246))/6, AND(AI$24-$I246 =6,NOT(_xlfn.IFNA(ISNUMBER(SEARCH("Rending",$L246)),FALSE))), (7-(AI$24-$I246))/6, AND(AI$24-$I246 &gt;=7,NOT(_xlfn.IFNA(ISNUMBER(SEARCH("Rending",$L246)),FALSE))), 0, AI$24-$I246 =7, (7-(AI$24-1-$I246))/6, AI$24-$I246 =8, (7-(AI$24-2-$I246))/6*2/3, AI$24-$I246 =9, (7-(AI$24-3-$I246))/6*1/3, TRUE, 0) *
IF(ISNUMBER(SEARCH("Ordinance",$L246)),7/6,1) *
IF(OR(ISNUMBER(SEARCH("Melee",$L246)),ISNUMBER(SEARCH("Bypass",$L246))),1.5,1)</f>
        <v>0</v>
      </c>
      <c r="AJ246" s="17" cm="1">
        <f t="array" ref="AJ246">$H246 *
IF(ISNUMBER(SEARCH("Rapid",$L246)),7/6,1) *
IF(OR(ISNUMBER(SEARCH("Beam",$L246)),ISNUMBER(SEARCH("Firestorm",$L246))),1, IF(ISNUMBER(SEARCH("Blast",$L246)),(4+$G246+(2-$G246)*0.5)/6*2,(4+$G246)/6)) *
_xlfn.IFS(AJ$24-$I246 &lt;=1, 5/6, AJ$24-$I246 &lt;=5, (7-(AJ$24-$I246))/6, AND(AJ$24-$I246 =6,NOT(_xlfn.IFNA(ISNUMBER(SEARCH("Rending",$L246)),FALSE))), (7-(AJ$24-$I246))/6, AND(AJ$24-$I246 &gt;=7,NOT(_xlfn.IFNA(ISNUMBER(SEARCH("Rending",$L246)),FALSE))), 0, AJ$24-$I246 =7, (7-(AJ$24-1-$I246))/6, AJ$24-$I246 =8, (7-(AJ$24-2-$I246))/6*2/3, AJ$24-$I246 =9, (7-(AJ$24-3-$I246))/6*1/3, TRUE, 0) *
IF(ISNUMBER(SEARCH("Ordinance",$L246)),7/6,1) *
IF(OR(ISNUMBER(SEARCH("Melee",$L246)),ISNUMBER(SEARCH("Bypass",$L246))),1.5,1)</f>
        <v>0</v>
      </c>
      <c r="AK246" s="17" cm="1">
        <f t="array" ref="AK246">$H246 *
IF(ISNUMBER(SEARCH("Rapid",$L246)),7/6,1) *
IF(OR(ISNUMBER(SEARCH("Beam",$L246)),ISNUMBER(SEARCH("Firestorm",$L246))),1, IF(ISNUMBER(SEARCH("Blast",$L246)),(4+$G246+(2-$G246)*0.5)/6*2,(4+$G246)/6)) *
_xlfn.IFS(AK$24-$I246 &lt;=1, 5/6, AK$24-$I246 &lt;=5, (7-(AK$24-$I246))/6, AND(AK$24-$I246 =6,NOT(_xlfn.IFNA(ISNUMBER(SEARCH("Rending",$L246)),FALSE))), (7-(AK$24-$I246))/6, AND(AK$24-$I246 &gt;=7,NOT(_xlfn.IFNA(ISNUMBER(SEARCH("Rending",$L246)),FALSE))), 0, AK$24-$I246 =7, (7-(AK$24-1-$I246))/6, AK$24-$I246 =8, (7-(AK$24-2-$I246))/6*2/3, AK$24-$I246 =9, (7-(AK$24-3-$I246))/6*1/3, TRUE, 0) *
IF(ISNUMBER(SEARCH("Ordinance",$L246)),7/6,1) *
IF(OR(ISNUMBER(SEARCH("Melee",$L246)),ISNUMBER(SEARCH("Bypass",$L246))),1.5,1)</f>
        <v>0</v>
      </c>
      <c r="AL246" s="17" cm="1">
        <f t="array" ref="AL246">$H246 *
IF(ISNUMBER(SEARCH("Rapid",$L246)),7/6,1) *
IF(OR(ISNUMBER(SEARCH("Beam",$L246)),ISNUMBER(SEARCH("Firestorm",$L246))),1, IF(ISNUMBER(SEARCH("Blast",$L246)),(4+$G246+(2-$G246)*0.5)/6*2,(4+$G246)/6)) *
_xlfn.IFS(AL$24-$I246 &lt;=1, 5/6, AL$24-$I246 &lt;=5, (7-(AL$24-$I246))/6, AND(AL$24-$I246 =6,NOT(_xlfn.IFNA(ISNUMBER(SEARCH("Rending",$L246)),FALSE))), (7-(AL$24-$I246))/6, AND(AL$24-$I246 &gt;=7,NOT(_xlfn.IFNA(ISNUMBER(SEARCH("Rending",$L246)),FALSE))), 0, AL$24-$I246 =7, (7-(AL$24-1-$I246))/6, AL$24-$I246 =8, (7-(AL$24-2-$I246))/6*2/3, AL$24-$I246 =9, (7-(AL$24-3-$I246))/6*1/3, TRUE, 0) *
IF(ISNUMBER(SEARCH("Ordinance",$L246)),7/6,1) *
IF(OR(ISNUMBER(SEARCH("Melee",$L246)),ISNUMBER(SEARCH("Bypass",$L246))),1.5,1)</f>
        <v>0</v>
      </c>
      <c r="AM246" s="17" cm="1">
        <f t="array" ref="AM246">$H246 *
IF(ISNUMBER(SEARCH("Rapid",$L246)),7/6,1) *
IF(OR(ISNUMBER(SEARCH("Beam",$L246)),ISNUMBER(SEARCH("Firestorm",$L246))),1, IF(ISNUMBER(SEARCH("Blast",$L246)),(4+$G246+(2-$G246)*0.5)/6*2,(4+$G246)/6)) *
_xlfn.IFS(AM$24-$I246 &lt;=1, 5/6, AM$24-$I246 &lt;=5, (7-(AM$24-$I246))/6, AND(AM$24-$I246 =6,NOT(_xlfn.IFNA(ISNUMBER(SEARCH("Rending",$L246)),FALSE))), (7-(AM$24-$I246))/6, AND(AM$24-$I246 &gt;=7,NOT(_xlfn.IFNA(ISNUMBER(SEARCH("Rending",$L246)),FALSE))), 0, AM$24-$I246 =7, (7-(AM$24-1-$I246))/6, AM$24-$I246 =8, (7-(AM$24-2-$I246))/6*2/3, AM$24-$I246 =9, (7-(AM$24-3-$I246))/6*1/3, TRUE, 0) *
IF(ISNUMBER(SEARCH("Ordinance",$L246)),7/6,1) *
IF(OR(ISNUMBER(SEARCH("Melee",$L246)),ISNUMBER(SEARCH("Bypass",$L246))),1.5,1)</f>
        <v>0</v>
      </c>
      <c r="AN246" s="17" cm="1">
        <f t="array" ref="AN246">$H246 *
IF(ISNUMBER(SEARCH("Rapid",$L246)),7/6,1) *
IF(OR(ISNUMBER(SEARCH("Beam",$L246)),ISNUMBER(SEARCH("Firestorm",$L246))),1, IF(ISNUMBER(SEARCH("Blast",$L246)),(4+$G246+(2-$G246)*0.5)/6*2,(4+$G246)/6)) *
_xlfn.IFS(AN$24-$I246 &lt;=1, 5/6, AN$24-$I246 &lt;=5, (7-(AN$24-$I246))/6, AND(AN$24-$I246 =6,NOT(_xlfn.IFNA(ISNUMBER(SEARCH("Rending",$L246)),FALSE))), (7-(AN$24-$I246))/6, AND(AN$24-$I246 &gt;=7,NOT(_xlfn.IFNA(ISNUMBER(SEARCH("Rending",$L246)),FALSE))), 0, AN$24-$I246 =7, (7-(AN$24-1-$I246))/6, AN$24-$I246 =8, (7-(AN$24-2-$I246))/6*2/3, AN$24-$I246 =9, (7-(AN$24-3-$I246))/6*1/3, TRUE, 0) *
IF(ISNUMBER(SEARCH("Ordinance",$L246)),7/6,1) *
IF(OR(ISNUMBER(SEARCH("Melee",$L246)),ISNUMBER(SEARCH("Bypass",$L246))),1.5,1)</f>
        <v>0</v>
      </c>
      <c r="AO246" s="17" cm="1">
        <f t="array" ref="AO246">$H246 *
IF(ISNUMBER(SEARCH("Rapid",$L246)),7/6,1) *
IF(OR(ISNUMBER(SEARCH("Beam",$L246)),ISNUMBER(SEARCH("Firestorm",$L246))),1, IF(ISNUMBER(SEARCH("Blast",$L246)),(4+$G246+(2-$G246)*0.5)/6*2,(4+$G246)/6)) *
_xlfn.IFS(AO$24-$I246 &lt;=1, 5/6, AO$24-$I246 &lt;=5, (7-(AO$24-$I246))/6, AND(AO$24-$I246 =6,NOT(_xlfn.IFNA(ISNUMBER(SEARCH("Rending",$L246)),FALSE))), (7-(AO$24-$I246))/6, AND(AO$24-$I246 &gt;=7,NOT(_xlfn.IFNA(ISNUMBER(SEARCH("Rending",$L246)),FALSE))), 0, AO$24-$I246 =7, (7-(AO$24-1-$I246))/6, AO$24-$I246 =8, (7-(AO$24-2-$I246))/6*2/3, AO$24-$I246 =9, (7-(AO$24-3-$I246))/6*1/3, TRUE, 0) *
IF(ISNUMBER(SEARCH("Ordinance",$L246)),7/6,1) *
IF(OR(ISNUMBER(SEARCH("Melee",$L246)),ISNUMBER(SEARCH("Bypass",$L246))),1.5,1)</f>
        <v>0</v>
      </c>
      <c r="AP246" s="17" cm="1">
        <f t="array" ref="AP246">$H246 *
IF(ISNUMBER(SEARCH("Rapid",$L246)),7/6,1) *
IF(OR(ISNUMBER(SEARCH("Beam",$L246)),ISNUMBER(SEARCH("Firestorm",$L246))),1, IF(ISNUMBER(SEARCH("Blast",$L246)),(4+$G246+(2-$G246)*0.5)/6*2,(4+$G246)/6)) *
_xlfn.IFS(AP$24-$I246 &lt;=1, 5/6, AP$24-$I246 &lt;=5, (7-(AP$24-$I246))/6, AND(AP$24-$I246 =6,NOT(_xlfn.IFNA(ISNUMBER(SEARCH("Rending",$L246)),FALSE))), (7-(AP$24-$I246))/6, AND(AP$24-$I246 &gt;=7,NOT(_xlfn.IFNA(ISNUMBER(SEARCH("Rending",$L246)),FALSE))), 0, AP$24-$I246 =7, (7-(AP$24-1-$I246))/6, AP$24-$I246 =8, (7-(AP$24-2-$I246))/6*2/3, AP$24-$I246 =9, (7-(AP$24-3-$I246))/6*1/3, TRUE, 0) *
IF(ISNUMBER(SEARCH("Ordinance",$L246)),7/6,1) *
IF(OR(ISNUMBER(SEARCH("Melee",$L246)),ISNUMBER(SEARCH("Bypass",$L246))),1.5,1)</f>
        <v>0</v>
      </c>
      <c r="AQ246" s="17" cm="1">
        <f t="array" ref="AQ246">$H246 *
IF(ISNUMBER(SEARCH("Rapid",$L246)),7/6,1) *
IF(OR(ISNUMBER(SEARCH("Beam",$L246)),ISNUMBER(SEARCH("Firestorm",$L246))),1, IF(ISNUMBER(SEARCH("Blast",$L246)),(4+$G246+(2-$G246)*0.5)/6*2,(4+$G246)/6)) *
_xlfn.IFS(AQ$24-$I246 &lt;=1, 5/6, AQ$24-$I246 &lt;=5, (7-(AQ$24-$I246))/6, AND(AQ$24-$I246 =6,NOT(_xlfn.IFNA(ISNUMBER(SEARCH("Rending",$L246)),FALSE))), (7-(AQ$24-$I246))/6, AND(AQ$24-$I246 &gt;=7,NOT(_xlfn.IFNA(ISNUMBER(SEARCH("Rending",$L246)),FALSE))), 0, AQ$24-$I246 =7, (7-(AQ$24-1-$I246))/6, AQ$24-$I246 =8, (7-(AQ$24-2-$I246))/6*2/3, AQ$24-$I246 =9, (7-(AQ$24-3-$I246))/6*1/3, TRUE, 0) *
IF(ISNUMBER(SEARCH("Ordinance",$L246)),7/6,1) *
IF(OR(ISNUMBER(SEARCH("Melee",$L246)),ISNUMBER(SEARCH("Bypass",$L246))),1.5,1)</f>
        <v>0</v>
      </c>
      <c r="AS246" s="16">
        <f t="shared" si="72"/>
        <v>0</v>
      </c>
      <c r="AT246" s="16">
        <f t="shared" si="73"/>
        <v>0</v>
      </c>
      <c r="AU246" s="16">
        <f t="shared" si="74"/>
        <v>0</v>
      </c>
      <c r="AV246" s="2">
        <v>11</v>
      </c>
    </row>
    <row r="247" spans="1:48" x14ac:dyDescent="0.3">
      <c r="A247" t="s">
        <v>875</v>
      </c>
      <c r="F247" s="10"/>
      <c r="G247" s="10"/>
      <c r="H247" s="3">
        <v>2</v>
      </c>
      <c r="I247" s="3">
        <v>4</v>
      </c>
      <c r="K247" s="3">
        <v>0</v>
      </c>
      <c r="L247" s="3" t="s">
        <v>491</v>
      </c>
      <c r="V247" s="16">
        <f t="shared" si="65"/>
        <v>0.44444444444444442</v>
      </c>
      <c r="W247" s="16">
        <f t="shared" si="66"/>
        <v>0.66666666666666663</v>
      </c>
      <c r="X247" s="17" cm="1">
        <f t="array" ref="X247">$H247 *
IF(ISNUMBER(SEARCH("Rapid",$L247)),7/6,1) *
IF(OR(ISNUMBER(SEARCH("Beam",$L247)),ISNUMBER(SEARCH("Firestorm",$L247))),1, IF(ISNUMBER(SEARCH("Blast",$L247)),(4+$F247+(2-$F247)*0.5)/6*2,(4+$F247)/6)) *
IF(ISNUMBER(SEARCH("Fusion",$L247)), _xlfn.IFS(X$24-$I247 &lt;=1, 9/10, X$24-$I247 &lt;=10,(11-(X$24-$I247))/10, X$24-$I247 &gt;=11, 0),
_xlfn.IFS(X$24-$I247 &lt;=1, 5/6, X$24-$I247 &lt;=5, (7-(X$24-$I247))/6, AND(X$24-$I247 =6,NOT(_xlfn.IFNA(ISNUMBER(SEARCH("Rending",$L247)),FALSE))), (7-(X$24-$I247))/6, AND(X$24-$I247 &gt;=7,NOT(_xlfn.IFNA(ISNUMBER(SEARCH("Rending",$L247)),FALSE))), 0, X$24-$I247 =7, (7-(X$24-1-$I247))/6, X$24-$I247 =8, (7-(X$24-2-$I247))/6*2/3, X$24-$I247 =9, (7-(X$24-3-$I247))/6*1/3, TRUE, 0)) *
IF(ISNUMBER(SEARCH("Ordinance",$L247)),7/6,1) *
IF(OR(ISNUMBER(SEARCH("Melee",$L247)),ISNUMBER(SEARCH("Bypass",$L247))),1.5,1)</f>
        <v>0.44444444444444442</v>
      </c>
      <c r="Y247" s="17" cm="1">
        <f t="array" ref="Y247">$H247 *
IF(ISNUMBER(SEARCH("Rapid",$L247)),7/6,1) *
IF(OR(ISNUMBER(SEARCH("Beam",$L247)),ISNUMBER(SEARCH("Firestorm",$L247))),1, IF(ISNUMBER(SEARCH("Blast",$L247)),(4+$F247+(2-$F247)*0.5)/6*2,(4+$F247)/6)) *
IF(ISNUMBER(SEARCH("Fusion",$L247)), _xlfn.IFS(Y$24-$I247 &lt;=1, 9/10, Y$24-$I247 &lt;=10,(11-(Y$24-$I247))/10, Y$24-$I247 &gt;=11, 0),
_xlfn.IFS(Y$24-$I247 &lt;=1, 5/6, Y$24-$I247 &lt;=5, (7-(Y$24-$I247))/6, AND(Y$24-$I247 =6,NOT(_xlfn.IFNA(ISNUMBER(SEARCH("Rending",$L247)),FALSE))), (7-(Y$24-$I247))/6, AND(Y$24-$I247 &gt;=7,NOT(_xlfn.IFNA(ISNUMBER(SEARCH("Rending",$L247)),FALSE))), 0, Y$24-$I247 =7, (7-(Y$24-1-$I247))/6, Y$24-$I247 =8, (7-(Y$24-2-$I247))/6*2/3, Y$24-$I247 =9, (7-(Y$24-3-$I247))/6*1/3, TRUE, 0)) *
IF(ISNUMBER(SEARCH("Ordinance",$L247)),7/6,1) *
IF(OR(ISNUMBER(SEARCH("Melee",$L247)),ISNUMBER(SEARCH("Bypass",$L247))),1.5,1)</f>
        <v>0.22222222222222221</v>
      </c>
      <c r="Z247" s="17" cm="1">
        <f t="array" ref="Z247">$H247 *
IF(ISNUMBER(SEARCH("Rapid",$L247)),7/6,1) *
IF(OR(ISNUMBER(SEARCH("Beam",$L247)),ISNUMBER(SEARCH("Firestorm",$L247))),1, IF(ISNUMBER(SEARCH("Blast",$L247)),(4+$F247+(2-$F247)*0.5)/6*2,(4+$F247)/6)) *
IF(ISNUMBER(SEARCH("Fusion",$L247)), _xlfn.IFS(Z$24-$I247 &lt;=1, 9/10, Z$24-$I247 &lt;=10,(11-(Z$24-$I247))/10, Z$24-$I247 &gt;=11, 0),
_xlfn.IFS(Z$24-$I247 &lt;=1, 5/6, Z$24-$I247 &lt;=5, (7-(Z$24-$I247))/6, AND(Z$24-$I247 =6,NOT(_xlfn.IFNA(ISNUMBER(SEARCH("Rending",$L247)),FALSE))), (7-(Z$24-$I247))/6, AND(Z$24-$I247 &gt;=7,NOT(_xlfn.IFNA(ISNUMBER(SEARCH("Rending",$L247)),FALSE))), 0, Z$24-$I247 =7, (7-(Z$24-1-$I247))/6, Z$24-$I247 =8, (7-(Z$24-2-$I247))/6*2/3, Z$24-$I247 =9, (7-(Z$24-3-$I247))/6*1/3, TRUE, 0)) *
IF(ISNUMBER(SEARCH("Ordinance",$L247)),7/6,1) *
IF(OR(ISNUMBER(SEARCH("Melee",$L247)),ISNUMBER(SEARCH("Bypass",$L247))),1.5,1)</f>
        <v>0</v>
      </c>
      <c r="AA247" s="17" cm="1">
        <f t="array" ref="AA247">$H247 *
IF(ISNUMBER(SEARCH("Rapid",$L247)),7/6,1) *
IF(OR(ISNUMBER(SEARCH("Beam",$L247)),ISNUMBER(SEARCH("Firestorm",$L247))),1, IF(ISNUMBER(SEARCH("Blast",$L247)),(4+$F247+(2-$F247)*0.5)/6*2,(4+$F247)/6)) *
IF(ISNUMBER(SEARCH("Fusion",$L247)), _xlfn.IFS(AA$24-$I247 &lt;=1, 9/10, AA$24-$I247 &lt;=10,(11-(AA$24-$I247))/10, AA$24-$I247 &gt;=11, 0),
_xlfn.IFS(AA$24-$I247 &lt;=1, 5/6, AA$24-$I247 &lt;=5, (7-(AA$24-$I247))/6, AND(AA$24-$I247 =6,NOT(_xlfn.IFNA(ISNUMBER(SEARCH("Rending",$L247)),FALSE))), (7-(AA$24-$I247))/6, AND(AA$24-$I247 &gt;=7,NOT(_xlfn.IFNA(ISNUMBER(SEARCH("Rending",$L247)),FALSE))), 0, AA$24-$I247 =7, (7-(AA$24-1-$I247))/6, AA$24-$I247 =8, (7-(AA$24-2-$I247))/6*2/3, AA$24-$I247 =9, (7-(AA$24-3-$I247))/6*1/3, TRUE, 0)) *
IF(ISNUMBER(SEARCH("Ordinance",$L247)),7/6,1) *
IF(OR(ISNUMBER(SEARCH("Melee",$L247)),ISNUMBER(SEARCH("Bypass",$L247))),1.5,1)</f>
        <v>0</v>
      </c>
      <c r="AB247" s="17" cm="1">
        <f t="array" ref="AB247">$H247 *
IF(ISNUMBER(SEARCH("Rapid",$L247)),7/6,1) *
IF(OR(ISNUMBER(SEARCH("Beam",$L247)),ISNUMBER(SEARCH("Firestorm",$L247))),1, IF(ISNUMBER(SEARCH("Blast",$L247)),(4+$F247+(2-$F247)*0.5)/6*2,(4+$F247)/6)) *
IF(ISNUMBER(SEARCH("Fusion",$L247)), _xlfn.IFS(AB$24-$I247 &lt;=1, 9/10, AB$24-$I247 &lt;=10,(11-(AB$24-$I247))/10, AB$24-$I247 &gt;=11, 0),
_xlfn.IFS(AB$24-$I247 &lt;=1, 5/6, AB$24-$I247 &lt;=5, (7-(AB$24-$I247))/6, AND(AB$24-$I247 =6,NOT(_xlfn.IFNA(ISNUMBER(SEARCH("Rending",$L247)),FALSE))), (7-(AB$24-$I247))/6, AND(AB$24-$I247 &gt;=7,NOT(_xlfn.IFNA(ISNUMBER(SEARCH("Rending",$L247)),FALSE))), 0, AB$24-$I247 =7, (7-(AB$24-1-$I247))/6, AB$24-$I247 =8, (7-(AB$24-2-$I247))/6*2/3, AB$24-$I247 =9, (7-(AB$24-3-$I247))/6*1/3, TRUE, 0)) *
IF(ISNUMBER(SEARCH("Ordinance",$L247)),7/6,1) *
IF(OR(ISNUMBER(SEARCH("Melee",$L247)),ISNUMBER(SEARCH("Bypass",$L247))),1.5,1)</f>
        <v>0</v>
      </c>
      <c r="AC247" s="17" cm="1">
        <f t="array" ref="AC247">$H247 *
IF(ISNUMBER(SEARCH("Rapid",$L247)),7/6,1) *
IF(OR(ISNUMBER(SEARCH("Beam",$L247)),ISNUMBER(SEARCH("Firestorm",$L247))),1, IF(ISNUMBER(SEARCH("Blast",$L247)),(4+$F247+(2-$F247)*0.5)/6*2,(4+$F247)/6)) *
IF(ISNUMBER(SEARCH("Fusion",$L247)), _xlfn.IFS(AC$24-$I247 &lt;=1, 9/10, AC$24-$I247 &lt;=10,(11-(AC$24-$I247))/10, AC$24-$I247 &gt;=11, 0),
_xlfn.IFS(AC$24-$I247 &lt;=1, 5/6, AC$24-$I247 &lt;=5, (7-(AC$24-$I247))/6, AND(AC$24-$I247 =6,NOT(_xlfn.IFNA(ISNUMBER(SEARCH("Rending",$L247)),FALSE))), (7-(AC$24-$I247))/6, AND(AC$24-$I247 &gt;=7,NOT(_xlfn.IFNA(ISNUMBER(SEARCH("Rending",$L247)),FALSE))), 0, AC$24-$I247 =7, (7-(AC$24-1-$I247))/6, AC$24-$I247 =8, (7-(AC$24-2-$I247))/6*2/3, AC$24-$I247 =9, (7-(AC$24-3-$I247))/6*1/3, TRUE, 0)) *
IF(ISNUMBER(SEARCH("Ordinance",$L247)),7/6,1) *
IF(OR(ISNUMBER(SEARCH("Melee",$L247)),ISNUMBER(SEARCH("Bypass",$L247))),1.5,1)</f>
        <v>0</v>
      </c>
      <c r="AD247" s="17" cm="1">
        <f t="array" ref="AD247">$H247 *
IF(ISNUMBER(SEARCH("Rapid",$L247)),7/6,1) *
IF(OR(ISNUMBER(SEARCH("Beam",$L247)),ISNUMBER(SEARCH("Firestorm",$L247))),1, IF(ISNUMBER(SEARCH("Blast",$L247)),(4+$F247+(2-$F247)*0.5)/6*2,(4+$F247)/6)) *
IF(ISNUMBER(SEARCH("Fusion",$L247)), _xlfn.IFS(AD$24-$I247 &lt;=1, 9/10, AD$24-$I247 &lt;=10,(11-(AD$24-$I247))/10, AD$24-$I247 &gt;=11, 0),
_xlfn.IFS(AD$24-$I247 &lt;=1, 5/6, AD$24-$I247 &lt;=5, (7-(AD$24-$I247))/6, AND(AD$24-$I247 =6,NOT(_xlfn.IFNA(ISNUMBER(SEARCH("Rending",$L247)),FALSE))), (7-(AD$24-$I247))/6, AND(AD$24-$I247 &gt;=7,NOT(_xlfn.IFNA(ISNUMBER(SEARCH("Rending",$L247)),FALSE))), 0, AD$24-$I247 =7, (7-(AD$24-1-$I247))/6, AD$24-$I247 =8, (7-(AD$24-2-$I247))/6*2/3, AD$24-$I247 =9, (7-(AD$24-3-$I247))/6*1/3, TRUE, 0)) *
IF(ISNUMBER(SEARCH("Ordinance",$L247)),7/6,1) *
IF(OR(ISNUMBER(SEARCH("Melee",$L247)),ISNUMBER(SEARCH("Bypass",$L247))),1.5,1)</f>
        <v>0</v>
      </c>
      <c r="AE247" s="17" cm="1">
        <f t="array" ref="AE247">$H247 *
IF(ISNUMBER(SEARCH("Rapid",$L247)),7/6,1) *
IF(OR(ISNUMBER(SEARCH("Beam",$L247)),ISNUMBER(SEARCH("Firestorm",$L247))),1, IF(ISNUMBER(SEARCH("Blast",$L247)),(4+$F247+(2-$F247)*0.5)/6*2,(4+$F247)/6)) *
IF(ISNUMBER(SEARCH("Fusion",$L247)), _xlfn.IFS(AE$24-$I247 &lt;=1, 9/10, AE$24-$I247 &lt;=10,(11-(AE$24-$I247))/10, AE$24-$I247 &gt;=11, 0),
_xlfn.IFS(AE$24-$I247 &lt;=1, 5/6, AE$24-$I247 &lt;=5, (7-(AE$24-$I247))/6, AND(AE$24-$I247 =6,NOT(_xlfn.IFNA(ISNUMBER(SEARCH("Rending",$L247)),FALSE))), (7-(AE$24-$I247))/6, AND(AE$24-$I247 &gt;=7,NOT(_xlfn.IFNA(ISNUMBER(SEARCH("Rending",$L247)),FALSE))), 0, AE$24-$I247 =7, (7-(AE$24-1-$I247))/6, AE$24-$I247 =8, (7-(AE$24-2-$I247))/6*2/3, AE$24-$I247 =9, (7-(AE$24-3-$I247))/6*1/3, TRUE, 0)) *
IF(ISNUMBER(SEARCH("Ordinance",$L247)),7/6,1) *
IF(OR(ISNUMBER(SEARCH("Melee",$L247)),ISNUMBER(SEARCH("Bypass",$L247))),1.5,1)</f>
        <v>0</v>
      </c>
      <c r="AF247" s="17" cm="1">
        <f t="array" ref="AF247">$H247 *
IF(ISNUMBER(SEARCH("Rapid",$L247)),7/6,1) *
IF(OR(ISNUMBER(SEARCH("Beam",$L247)),ISNUMBER(SEARCH("Firestorm",$L247))),1, IF(ISNUMBER(SEARCH("Blast",$L247)),(4+$F247+(2-$F247)*0.5)/6*2,(4+$F247)/6)) *
IF(ISNUMBER(SEARCH("Fusion",$L247)), _xlfn.IFS(AF$24-$I247 &lt;=1, 9/10, AF$24-$I247 &lt;=10,(11-(AF$24-$I247))/10, AF$24-$I247 &gt;=11, 0),
_xlfn.IFS(AF$24-$I247 &lt;=1, 5/6, AF$24-$I247 &lt;=5, (7-(AF$24-$I247))/6, AND(AF$24-$I247 =6,NOT(_xlfn.IFNA(ISNUMBER(SEARCH("Rending",$L247)),FALSE))), (7-(AF$24-$I247))/6, AND(AF$24-$I247 &gt;=7,NOT(_xlfn.IFNA(ISNUMBER(SEARCH("Rending",$L247)),FALSE))), 0, AF$24-$I247 =7, (7-(AF$24-1-$I247))/6, AF$24-$I247 =8, (7-(AF$24-2-$I247))/6*2/3, AF$24-$I247 =9, (7-(AF$24-3-$I247))/6*1/3, TRUE, 0)) *
IF(ISNUMBER(SEARCH("Ordinance",$L247)),7/6,1) *
IF(OR(ISNUMBER(SEARCH("Melee",$L247)),ISNUMBER(SEARCH("Bypass",$L247))),1.5,1)</f>
        <v>0</v>
      </c>
      <c r="AG247" s="16">
        <f t="shared" si="67"/>
        <v>0.44444444444444442</v>
      </c>
      <c r="AH247" s="16">
        <f t="shared" si="68"/>
        <v>0.66666666666666663</v>
      </c>
      <c r="AI247" s="17" cm="1">
        <f t="array" ref="AI247">$H247 *
IF(ISNUMBER(SEARCH("Rapid",$L247)),7/6,1) *
IF(OR(ISNUMBER(SEARCH("Beam",$L247)),ISNUMBER(SEARCH("Firestorm",$L247))),1, IF(ISNUMBER(SEARCH("Blast",$L247)),(4+$G247+(2-$G247)*0.5)/6*2,(4+$G247)/6)) *
_xlfn.IFS(AI$24-$I247 &lt;=1, 5/6, AI$24-$I247 &lt;=5, (7-(AI$24-$I247))/6, AND(AI$24-$I247 =6,NOT(_xlfn.IFNA(ISNUMBER(SEARCH("Rending",$L247)),FALSE))), (7-(AI$24-$I247))/6, AND(AI$24-$I247 &gt;=7,NOT(_xlfn.IFNA(ISNUMBER(SEARCH("Rending",$L247)),FALSE))), 0, AI$24-$I247 =7, (7-(AI$24-1-$I247))/6, AI$24-$I247 =8, (7-(AI$24-2-$I247))/6*2/3, AI$24-$I247 =9, (7-(AI$24-3-$I247))/6*1/3, TRUE, 0) *
IF(ISNUMBER(SEARCH("Ordinance",$L247)),7/6,1) *
IF(OR(ISNUMBER(SEARCH("Melee",$L247)),ISNUMBER(SEARCH("Bypass",$L247))),1.5,1)</f>
        <v>0.44444444444444442</v>
      </c>
      <c r="AJ247" s="17" cm="1">
        <f t="array" ref="AJ247">$H247 *
IF(ISNUMBER(SEARCH("Rapid",$L247)),7/6,1) *
IF(OR(ISNUMBER(SEARCH("Beam",$L247)),ISNUMBER(SEARCH("Firestorm",$L247))),1, IF(ISNUMBER(SEARCH("Blast",$L247)),(4+$G247+(2-$G247)*0.5)/6*2,(4+$G247)/6)) *
_xlfn.IFS(AJ$24-$I247 &lt;=1, 5/6, AJ$24-$I247 &lt;=5, (7-(AJ$24-$I247))/6, AND(AJ$24-$I247 =6,NOT(_xlfn.IFNA(ISNUMBER(SEARCH("Rending",$L247)),FALSE))), (7-(AJ$24-$I247))/6, AND(AJ$24-$I247 &gt;=7,NOT(_xlfn.IFNA(ISNUMBER(SEARCH("Rending",$L247)),FALSE))), 0, AJ$24-$I247 =7, (7-(AJ$24-1-$I247))/6, AJ$24-$I247 =8, (7-(AJ$24-2-$I247))/6*2/3, AJ$24-$I247 =9, (7-(AJ$24-3-$I247))/6*1/3, TRUE, 0) *
IF(ISNUMBER(SEARCH("Ordinance",$L247)),7/6,1) *
IF(OR(ISNUMBER(SEARCH("Melee",$L247)),ISNUMBER(SEARCH("Bypass",$L247))),1.5,1)</f>
        <v>0.22222222222222221</v>
      </c>
      <c r="AK247" s="17" cm="1">
        <f t="array" ref="AK247">$H247 *
IF(ISNUMBER(SEARCH("Rapid",$L247)),7/6,1) *
IF(OR(ISNUMBER(SEARCH("Beam",$L247)),ISNUMBER(SEARCH("Firestorm",$L247))),1, IF(ISNUMBER(SEARCH("Blast",$L247)),(4+$G247+(2-$G247)*0.5)/6*2,(4+$G247)/6)) *
_xlfn.IFS(AK$24-$I247 &lt;=1, 5/6, AK$24-$I247 &lt;=5, (7-(AK$24-$I247))/6, AND(AK$24-$I247 =6,NOT(_xlfn.IFNA(ISNUMBER(SEARCH("Rending",$L247)),FALSE))), (7-(AK$24-$I247))/6, AND(AK$24-$I247 &gt;=7,NOT(_xlfn.IFNA(ISNUMBER(SEARCH("Rending",$L247)),FALSE))), 0, AK$24-$I247 =7, (7-(AK$24-1-$I247))/6, AK$24-$I247 =8, (7-(AK$24-2-$I247))/6*2/3, AK$24-$I247 =9, (7-(AK$24-3-$I247))/6*1/3, TRUE, 0) *
IF(ISNUMBER(SEARCH("Ordinance",$L247)),7/6,1) *
IF(OR(ISNUMBER(SEARCH("Melee",$L247)),ISNUMBER(SEARCH("Bypass",$L247))),1.5,1)</f>
        <v>0</v>
      </c>
      <c r="AL247" s="17" cm="1">
        <f t="array" ref="AL247">$H247 *
IF(ISNUMBER(SEARCH("Rapid",$L247)),7/6,1) *
IF(OR(ISNUMBER(SEARCH("Beam",$L247)),ISNUMBER(SEARCH("Firestorm",$L247))),1, IF(ISNUMBER(SEARCH("Blast",$L247)),(4+$G247+(2-$G247)*0.5)/6*2,(4+$G247)/6)) *
_xlfn.IFS(AL$24-$I247 &lt;=1, 5/6, AL$24-$I247 &lt;=5, (7-(AL$24-$I247))/6, AND(AL$24-$I247 =6,NOT(_xlfn.IFNA(ISNUMBER(SEARCH("Rending",$L247)),FALSE))), (7-(AL$24-$I247))/6, AND(AL$24-$I247 &gt;=7,NOT(_xlfn.IFNA(ISNUMBER(SEARCH("Rending",$L247)),FALSE))), 0, AL$24-$I247 =7, (7-(AL$24-1-$I247))/6, AL$24-$I247 =8, (7-(AL$24-2-$I247))/6*2/3, AL$24-$I247 =9, (7-(AL$24-3-$I247))/6*1/3, TRUE, 0) *
IF(ISNUMBER(SEARCH("Ordinance",$L247)),7/6,1) *
IF(OR(ISNUMBER(SEARCH("Melee",$L247)),ISNUMBER(SEARCH("Bypass",$L247))),1.5,1)</f>
        <v>0</v>
      </c>
      <c r="AM247" s="17" cm="1">
        <f t="array" ref="AM247">$H247 *
IF(ISNUMBER(SEARCH("Rapid",$L247)),7/6,1) *
IF(OR(ISNUMBER(SEARCH("Beam",$L247)),ISNUMBER(SEARCH("Firestorm",$L247))),1, IF(ISNUMBER(SEARCH("Blast",$L247)),(4+$G247+(2-$G247)*0.5)/6*2,(4+$G247)/6)) *
_xlfn.IFS(AM$24-$I247 &lt;=1, 5/6, AM$24-$I247 &lt;=5, (7-(AM$24-$I247))/6, AND(AM$24-$I247 =6,NOT(_xlfn.IFNA(ISNUMBER(SEARCH("Rending",$L247)),FALSE))), (7-(AM$24-$I247))/6, AND(AM$24-$I247 &gt;=7,NOT(_xlfn.IFNA(ISNUMBER(SEARCH("Rending",$L247)),FALSE))), 0, AM$24-$I247 =7, (7-(AM$24-1-$I247))/6, AM$24-$I247 =8, (7-(AM$24-2-$I247))/6*2/3, AM$24-$I247 =9, (7-(AM$24-3-$I247))/6*1/3, TRUE, 0) *
IF(ISNUMBER(SEARCH("Ordinance",$L247)),7/6,1) *
IF(OR(ISNUMBER(SEARCH("Melee",$L247)),ISNUMBER(SEARCH("Bypass",$L247))),1.5,1)</f>
        <v>0</v>
      </c>
      <c r="AN247" s="17" cm="1">
        <f t="array" ref="AN247">$H247 *
IF(ISNUMBER(SEARCH("Rapid",$L247)),7/6,1) *
IF(OR(ISNUMBER(SEARCH("Beam",$L247)),ISNUMBER(SEARCH("Firestorm",$L247))),1, IF(ISNUMBER(SEARCH("Blast",$L247)),(4+$G247+(2-$G247)*0.5)/6*2,(4+$G247)/6)) *
_xlfn.IFS(AN$24-$I247 &lt;=1, 5/6, AN$24-$I247 &lt;=5, (7-(AN$24-$I247))/6, AND(AN$24-$I247 =6,NOT(_xlfn.IFNA(ISNUMBER(SEARCH("Rending",$L247)),FALSE))), (7-(AN$24-$I247))/6, AND(AN$24-$I247 &gt;=7,NOT(_xlfn.IFNA(ISNUMBER(SEARCH("Rending",$L247)),FALSE))), 0, AN$24-$I247 =7, (7-(AN$24-1-$I247))/6, AN$24-$I247 =8, (7-(AN$24-2-$I247))/6*2/3, AN$24-$I247 =9, (7-(AN$24-3-$I247))/6*1/3, TRUE, 0) *
IF(ISNUMBER(SEARCH("Ordinance",$L247)),7/6,1) *
IF(OR(ISNUMBER(SEARCH("Melee",$L247)),ISNUMBER(SEARCH("Bypass",$L247))),1.5,1)</f>
        <v>0</v>
      </c>
      <c r="AO247" s="17" cm="1">
        <f t="array" ref="AO247">$H247 *
IF(ISNUMBER(SEARCH("Rapid",$L247)),7/6,1) *
IF(OR(ISNUMBER(SEARCH("Beam",$L247)),ISNUMBER(SEARCH("Firestorm",$L247))),1, IF(ISNUMBER(SEARCH("Blast",$L247)),(4+$G247+(2-$G247)*0.5)/6*2,(4+$G247)/6)) *
_xlfn.IFS(AO$24-$I247 &lt;=1, 5/6, AO$24-$I247 &lt;=5, (7-(AO$24-$I247))/6, AND(AO$24-$I247 =6,NOT(_xlfn.IFNA(ISNUMBER(SEARCH("Rending",$L247)),FALSE))), (7-(AO$24-$I247))/6, AND(AO$24-$I247 &gt;=7,NOT(_xlfn.IFNA(ISNUMBER(SEARCH("Rending",$L247)),FALSE))), 0, AO$24-$I247 =7, (7-(AO$24-1-$I247))/6, AO$24-$I247 =8, (7-(AO$24-2-$I247))/6*2/3, AO$24-$I247 =9, (7-(AO$24-3-$I247))/6*1/3, TRUE, 0) *
IF(ISNUMBER(SEARCH("Ordinance",$L247)),7/6,1) *
IF(OR(ISNUMBER(SEARCH("Melee",$L247)),ISNUMBER(SEARCH("Bypass",$L247))),1.5,1)</f>
        <v>0</v>
      </c>
      <c r="AP247" s="17" cm="1">
        <f t="array" ref="AP247">$H247 *
IF(ISNUMBER(SEARCH("Rapid",$L247)),7/6,1) *
IF(OR(ISNUMBER(SEARCH("Beam",$L247)),ISNUMBER(SEARCH("Firestorm",$L247))),1, IF(ISNUMBER(SEARCH("Blast",$L247)),(4+$G247+(2-$G247)*0.5)/6*2,(4+$G247)/6)) *
_xlfn.IFS(AP$24-$I247 &lt;=1, 5/6, AP$24-$I247 &lt;=5, (7-(AP$24-$I247))/6, AND(AP$24-$I247 =6,NOT(_xlfn.IFNA(ISNUMBER(SEARCH("Rending",$L247)),FALSE))), (7-(AP$24-$I247))/6, AND(AP$24-$I247 &gt;=7,NOT(_xlfn.IFNA(ISNUMBER(SEARCH("Rending",$L247)),FALSE))), 0, AP$24-$I247 =7, (7-(AP$24-1-$I247))/6, AP$24-$I247 =8, (7-(AP$24-2-$I247))/6*2/3, AP$24-$I247 =9, (7-(AP$24-3-$I247))/6*1/3, TRUE, 0) *
IF(ISNUMBER(SEARCH("Ordinance",$L247)),7/6,1) *
IF(OR(ISNUMBER(SEARCH("Melee",$L247)),ISNUMBER(SEARCH("Bypass",$L247))),1.5,1)</f>
        <v>0</v>
      </c>
      <c r="AQ247" s="17" cm="1">
        <f t="array" ref="AQ247">$H247 *
IF(ISNUMBER(SEARCH("Rapid",$L247)),7/6,1) *
IF(OR(ISNUMBER(SEARCH("Beam",$L247)),ISNUMBER(SEARCH("Firestorm",$L247))),1, IF(ISNUMBER(SEARCH("Blast",$L247)),(4+$G247+(2-$G247)*0.5)/6*2,(4+$G247)/6)) *
_xlfn.IFS(AQ$24-$I247 &lt;=1, 5/6, AQ$24-$I247 &lt;=5, (7-(AQ$24-$I247))/6, AND(AQ$24-$I247 =6,NOT(_xlfn.IFNA(ISNUMBER(SEARCH("Rending",$L247)),FALSE))), (7-(AQ$24-$I247))/6, AND(AQ$24-$I247 &gt;=7,NOT(_xlfn.IFNA(ISNUMBER(SEARCH("Rending",$L247)),FALSE))), 0, AQ$24-$I247 =7, (7-(AQ$24-1-$I247))/6, AQ$24-$I247 =8, (7-(AQ$24-2-$I247))/6*2/3, AQ$24-$I247 =9, (7-(AQ$24-3-$I247))/6*1/3, TRUE, 0) *
IF(ISNUMBER(SEARCH("Ordinance",$L247)),7/6,1) *
IF(OR(ISNUMBER(SEARCH("Melee",$L247)),ISNUMBER(SEARCH("Bypass",$L247))),1.5,1)</f>
        <v>0</v>
      </c>
      <c r="AS247" s="16">
        <f t="shared" si="72"/>
        <v>0.16296296296296298</v>
      </c>
      <c r="AT247" s="16">
        <f t="shared" si="73"/>
        <v>0.24444444444444446</v>
      </c>
      <c r="AU247" s="16">
        <f t="shared" si="74"/>
        <v>0.10370370370370369</v>
      </c>
      <c r="AV247" s="2">
        <v>11</v>
      </c>
    </row>
    <row r="248" spans="1:48" x14ac:dyDescent="0.3">
      <c r="A248" t="s">
        <v>812</v>
      </c>
      <c r="F248" s="10"/>
      <c r="G248" s="10"/>
      <c r="H248" s="3">
        <v>3</v>
      </c>
      <c r="I248" s="3">
        <v>5</v>
      </c>
      <c r="K248" s="3">
        <v>0</v>
      </c>
      <c r="L248" s="3" t="s">
        <v>491</v>
      </c>
      <c r="V248" s="16">
        <f t="shared" si="65"/>
        <v>0.66666666666666663</v>
      </c>
      <c r="W248" s="16">
        <f t="shared" si="66"/>
        <v>1</v>
      </c>
      <c r="X248" s="17" cm="1">
        <f t="array" ref="X248">$H248 *
IF(ISNUMBER(SEARCH("Rapid",$L248)),7/6,1) *
IF(OR(ISNUMBER(SEARCH("Beam",$L248)),ISNUMBER(SEARCH("Firestorm",$L248))),1, IF(ISNUMBER(SEARCH("Blast",$L248)),(4+$F248+(2-$F248)*0.5)/6*2,(4+$F248)/6)) *
IF(ISNUMBER(SEARCH("Fusion",$L248)), _xlfn.IFS(X$24-$I248 &lt;=1, 9/10, X$24-$I248 &lt;=10,(11-(X$24-$I248))/10, X$24-$I248 &gt;=11, 0),
_xlfn.IFS(X$24-$I248 &lt;=1, 5/6, X$24-$I248 &lt;=5, (7-(X$24-$I248))/6, AND(X$24-$I248 =6,NOT(_xlfn.IFNA(ISNUMBER(SEARCH("Rending",$L248)),FALSE))), (7-(X$24-$I248))/6, AND(X$24-$I248 &gt;=7,NOT(_xlfn.IFNA(ISNUMBER(SEARCH("Rending",$L248)),FALSE))), 0, X$24-$I248 =7, (7-(X$24-1-$I248))/6, X$24-$I248 =8, (7-(X$24-2-$I248))/6*2/3, X$24-$I248 =9, (7-(X$24-3-$I248))/6*1/3, TRUE, 0)) *
IF(ISNUMBER(SEARCH("Ordinance",$L248)),7/6,1) *
IF(OR(ISNUMBER(SEARCH("Melee",$L248)),ISNUMBER(SEARCH("Bypass",$L248))),1.5,1)</f>
        <v>1</v>
      </c>
      <c r="Y248" s="17" cm="1">
        <f t="array" ref="Y248">$H248 *
IF(ISNUMBER(SEARCH("Rapid",$L248)),7/6,1) *
IF(OR(ISNUMBER(SEARCH("Beam",$L248)),ISNUMBER(SEARCH("Firestorm",$L248))),1, IF(ISNUMBER(SEARCH("Blast",$L248)),(4+$F248+(2-$F248)*0.5)/6*2,(4+$F248)/6)) *
IF(ISNUMBER(SEARCH("Fusion",$L248)), _xlfn.IFS(Y$24-$I248 &lt;=1, 9/10, Y$24-$I248 &lt;=10,(11-(Y$24-$I248))/10, Y$24-$I248 &gt;=11, 0),
_xlfn.IFS(Y$24-$I248 &lt;=1, 5/6, Y$24-$I248 &lt;=5, (7-(Y$24-$I248))/6, AND(Y$24-$I248 =6,NOT(_xlfn.IFNA(ISNUMBER(SEARCH("Rending",$L248)),FALSE))), (7-(Y$24-$I248))/6, AND(Y$24-$I248 &gt;=7,NOT(_xlfn.IFNA(ISNUMBER(SEARCH("Rending",$L248)),FALSE))), 0, Y$24-$I248 =7, (7-(Y$24-1-$I248))/6, Y$24-$I248 =8, (7-(Y$24-2-$I248))/6*2/3, Y$24-$I248 =9, (7-(Y$24-3-$I248))/6*1/3, TRUE, 0)) *
IF(ISNUMBER(SEARCH("Ordinance",$L248)),7/6,1) *
IF(OR(ISNUMBER(SEARCH("Melee",$L248)),ISNUMBER(SEARCH("Bypass",$L248))),1.5,1)</f>
        <v>0.66666666666666663</v>
      </c>
      <c r="Z248" s="17" cm="1">
        <f t="array" ref="Z248">$H248 *
IF(ISNUMBER(SEARCH("Rapid",$L248)),7/6,1) *
IF(OR(ISNUMBER(SEARCH("Beam",$L248)),ISNUMBER(SEARCH("Firestorm",$L248))),1, IF(ISNUMBER(SEARCH("Blast",$L248)),(4+$F248+(2-$F248)*0.5)/6*2,(4+$F248)/6)) *
IF(ISNUMBER(SEARCH("Fusion",$L248)), _xlfn.IFS(Z$24-$I248 &lt;=1, 9/10, Z$24-$I248 &lt;=10,(11-(Z$24-$I248))/10, Z$24-$I248 &gt;=11, 0),
_xlfn.IFS(Z$24-$I248 &lt;=1, 5/6, Z$24-$I248 &lt;=5, (7-(Z$24-$I248))/6, AND(Z$24-$I248 =6,NOT(_xlfn.IFNA(ISNUMBER(SEARCH("Rending",$L248)),FALSE))), (7-(Z$24-$I248))/6, AND(Z$24-$I248 &gt;=7,NOT(_xlfn.IFNA(ISNUMBER(SEARCH("Rending",$L248)),FALSE))), 0, Z$24-$I248 =7, (7-(Z$24-1-$I248))/6, Z$24-$I248 =8, (7-(Z$24-2-$I248))/6*2/3, Z$24-$I248 =9, (7-(Z$24-3-$I248))/6*1/3, TRUE, 0)) *
IF(ISNUMBER(SEARCH("Ordinance",$L248)),7/6,1) *
IF(OR(ISNUMBER(SEARCH("Melee",$L248)),ISNUMBER(SEARCH("Bypass",$L248))),1.5,1)</f>
        <v>0.33333333333333331</v>
      </c>
      <c r="AA248" s="17" cm="1">
        <f t="array" ref="AA248">$H248 *
IF(ISNUMBER(SEARCH("Rapid",$L248)),7/6,1) *
IF(OR(ISNUMBER(SEARCH("Beam",$L248)),ISNUMBER(SEARCH("Firestorm",$L248))),1, IF(ISNUMBER(SEARCH("Blast",$L248)),(4+$F248+(2-$F248)*0.5)/6*2,(4+$F248)/6)) *
IF(ISNUMBER(SEARCH("Fusion",$L248)), _xlfn.IFS(AA$24-$I248 &lt;=1, 9/10, AA$24-$I248 &lt;=10,(11-(AA$24-$I248))/10, AA$24-$I248 &gt;=11, 0),
_xlfn.IFS(AA$24-$I248 &lt;=1, 5/6, AA$24-$I248 &lt;=5, (7-(AA$24-$I248))/6, AND(AA$24-$I248 =6,NOT(_xlfn.IFNA(ISNUMBER(SEARCH("Rending",$L248)),FALSE))), (7-(AA$24-$I248))/6, AND(AA$24-$I248 &gt;=7,NOT(_xlfn.IFNA(ISNUMBER(SEARCH("Rending",$L248)),FALSE))), 0, AA$24-$I248 =7, (7-(AA$24-1-$I248))/6, AA$24-$I248 =8, (7-(AA$24-2-$I248))/6*2/3, AA$24-$I248 =9, (7-(AA$24-3-$I248))/6*1/3, TRUE, 0)) *
IF(ISNUMBER(SEARCH("Ordinance",$L248)),7/6,1) *
IF(OR(ISNUMBER(SEARCH("Melee",$L248)),ISNUMBER(SEARCH("Bypass",$L248))),1.5,1)</f>
        <v>0</v>
      </c>
      <c r="AB248" s="17" cm="1">
        <f t="array" ref="AB248">$H248 *
IF(ISNUMBER(SEARCH("Rapid",$L248)),7/6,1) *
IF(OR(ISNUMBER(SEARCH("Beam",$L248)),ISNUMBER(SEARCH("Firestorm",$L248))),1, IF(ISNUMBER(SEARCH("Blast",$L248)),(4+$F248+(2-$F248)*0.5)/6*2,(4+$F248)/6)) *
IF(ISNUMBER(SEARCH("Fusion",$L248)), _xlfn.IFS(AB$24-$I248 &lt;=1, 9/10, AB$24-$I248 &lt;=10,(11-(AB$24-$I248))/10, AB$24-$I248 &gt;=11, 0),
_xlfn.IFS(AB$24-$I248 &lt;=1, 5/6, AB$24-$I248 &lt;=5, (7-(AB$24-$I248))/6, AND(AB$24-$I248 =6,NOT(_xlfn.IFNA(ISNUMBER(SEARCH("Rending",$L248)),FALSE))), (7-(AB$24-$I248))/6, AND(AB$24-$I248 &gt;=7,NOT(_xlfn.IFNA(ISNUMBER(SEARCH("Rending",$L248)),FALSE))), 0, AB$24-$I248 =7, (7-(AB$24-1-$I248))/6, AB$24-$I248 =8, (7-(AB$24-2-$I248))/6*2/3, AB$24-$I248 =9, (7-(AB$24-3-$I248))/6*1/3, TRUE, 0)) *
IF(ISNUMBER(SEARCH("Ordinance",$L248)),7/6,1) *
IF(OR(ISNUMBER(SEARCH("Melee",$L248)),ISNUMBER(SEARCH("Bypass",$L248))),1.5,1)</f>
        <v>0</v>
      </c>
      <c r="AC248" s="17" cm="1">
        <f t="array" ref="AC248">$H248 *
IF(ISNUMBER(SEARCH("Rapid",$L248)),7/6,1) *
IF(OR(ISNUMBER(SEARCH("Beam",$L248)),ISNUMBER(SEARCH("Firestorm",$L248))),1, IF(ISNUMBER(SEARCH("Blast",$L248)),(4+$F248+(2-$F248)*0.5)/6*2,(4+$F248)/6)) *
IF(ISNUMBER(SEARCH("Fusion",$L248)), _xlfn.IFS(AC$24-$I248 &lt;=1, 9/10, AC$24-$I248 &lt;=10,(11-(AC$24-$I248))/10, AC$24-$I248 &gt;=11, 0),
_xlfn.IFS(AC$24-$I248 &lt;=1, 5/6, AC$24-$I248 &lt;=5, (7-(AC$24-$I248))/6, AND(AC$24-$I248 =6,NOT(_xlfn.IFNA(ISNUMBER(SEARCH("Rending",$L248)),FALSE))), (7-(AC$24-$I248))/6, AND(AC$24-$I248 &gt;=7,NOT(_xlfn.IFNA(ISNUMBER(SEARCH("Rending",$L248)),FALSE))), 0, AC$24-$I248 =7, (7-(AC$24-1-$I248))/6, AC$24-$I248 =8, (7-(AC$24-2-$I248))/6*2/3, AC$24-$I248 =9, (7-(AC$24-3-$I248))/6*1/3, TRUE, 0)) *
IF(ISNUMBER(SEARCH("Ordinance",$L248)),7/6,1) *
IF(OR(ISNUMBER(SEARCH("Melee",$L248)),ISNUMBER(SEARCH("Bypass",$L248))),1.5,1)</f>
        <v>0</v>
      </c>
      <c r="AD248" s="17" cm="1">
        <f t="array" ref="AD248">$H248 *
IF(ISNUMBER(SEARCH("Rapid",$L248)),7/6,1) *
IF(OR(ISNUMBER(SEARCH("Beam",$L248)),ISNUMBER(SEARCH("Firestorm",$L248))),1, IF(ISNUMBER(SEARCH("Blast",$L248)),(4+$F248+(2-$F248)*0.5)/6*2,(4+$F248)/6)) *
IF(ISNUMBER(SEARCH("Fusion",$L248)), _xlfn.IFS(AD$24-$I248 &lt;=1, 9/10, AD$24-$I248 &lt;=10,(11-(AD$24-$I248))/10, AD$24-$I248 &gt;=11, 0),
_xlfn.IFS(AD$24-$I248 &lt;=1, 5/6, AD$24-$I248 &lt;=5, (7-(AD$24-$I248))/6, AND(AD$24-$I248 =6,NOT(_xlfn.IFNA(ISNUMBER(SEARCH("Rending",$L248)),FALSE))), (7-(AD$24-$I248))/6, AND(AD$24-$I248 &gt;=7,NOT(_xlfn.IFNA(ISNUMBER(SEARCH("Rending",$L248)),FALSE))), 0, AD$24-$I248 =7, (7-(AD$24-1-$I248))/6, AD$24-$I248 =8, (7-(AD$24-2-$I248))/6*2/3, AD$24-$I248 =9, (7-(AD$24-3-$I248))/6*1/3, TRUE, 0)) *
IF(ISNUMBER(SEARCH("Ordinance",$L248)),7/6,1) *
IF(OR(ISNUMBER(SEARCH("Melee",$L248)),ISNUMBER(SEARCH("Bypass",$L248))),1.5,1)</f>
        <v>0</v>
      </c>
      <c r="AE248" s="17" cm="1">
        <f t="array" ref="AE248">$H248 *
IF(ISNUMBER(SEARCH("Rapid",$L248)),7/6,1) *
IF(OR(ISNUMBER(SEARCH("Beam",$L248)),ISNUMBER(SEARCH("Firestorm",$L248))),1, IF(ISNUMBER(SEARCH("Blast",$L248)),(4+$F248+(2-$F248)*0.5)/6*2,(4+$F248)/6)) *
IF(ISNUMBER(SEARCH("Fusion",$L248)), _xlfn.IFS(AE$24-$I248 &lt;=1, 9/10, AE$24-$I248 &lt;=10,(11-(AE$24-$I248))/10, AE$24-$I248 &gt;=11, 0),
_xlfn.IFS(AE$24-$I248 &lt;=1, 5/6, AE$24-$I248 &lt;=5, (7-(AE$24-$I248))/6, AND(AE$24-$I248 =6,NOT(_xlfn.IFNA(ISNUMBER(SEARCH("Rending",$L248)),FALSE))), (7-(AE$24-$I248))/6, AND(AE$24-$I248 &gt;=7,NOT(_xlfn.IFNA(ISNUMBER(SEARCH("Rending",$L248)),FALSE))), 0, AE$24-$I248 =7, (7-(AE$24-1-$I248))/6, AE$24-$I248 =8, (7-(AE$24-2-$I248))/6*2/3, AE$24-$I248 =9, (7-(AE$24-3-$I248))/6*1/3, TRUE, 0)) *
IF(ISNUMBER(SEARCH("Ordinance",$L248)),7/6,1) *
IF(OR(ISNUMBER(SEARCH("Melee",$L248)),ISNUMBER(SEARCH("Bypass",$L248))),1.5,1)</f>
        <v>0</v>
      </c>
      <c r="AF248" s="17" cm="1">
        <f t="array" ref="AF248">$H248 *
IF(ISNUMBER(SEARCH("Rapid",$L248)),7/6,1) *
IF(OR(ISNUMBER(SEARCH("Beam",$L248)),ISNUMBER(SEARCH("Firestorm",$L248))),1, IF(ISNUMBER(SEARCH("Blast",$L248)),(4+$F248+(2-$F248)*0.5)/6*2,(4+$F248)/6)) *
IF(ISNUMBER(SEARCH("Fusion",$L248)), _xlfn.IFS(AF$24-$I248 &lt;=1, 9/10, AF$24-$I248 &lt;=10,(11-(AF$24-$I248))/10, AF$24-$I248 &gt;=11, 0),
_xlfn.IFS(AF$24-$I248 &lt;=1, 5/6, AF$24-$I248 &lt;=5, (7-(AF$24-$I248))/6, AND(AF$24-$I248 =6,NOT(_xlfn.IFNA(ISNUMBER(SEARCH("Rending",$L248)),FALSE))), (7-(AF$24-$I248))/6, AND(AF$24-$I248 &gt;=7,NOT(_xlfn.IFNA(ISNUMBER(SEARCH("Rending",$L248)),FALSE))), 0, AF$24-$I248 =7, (7-(AF$24-1-$I248))/6, AF$24-$I248 =8, (7-(AF$24-2-$I248))/6*2/3, AF$24-$I248 =9, (7-(AF$24-3-$I248))/6*1/3, TRUE, 0)) *
IF(ISNUMBER(SEARCH("Ordinance",$L248)),7/6,1) *
IF(OR(ISNUMBER(SEARCH("Melee",$L248)),ISNUMBER(SEARCH("Bypass",$L248))),1.5,1)</f>
        <v>0</v>
      </c>
      <c r="AG248" s="16">
        <f t="shared" si="67"/>
        <v>0.66666666666666663</v>
      </c>
      <c r="AH248" s="16">
        <f t="shared" si="68"/>
        <v>1</v>
      </c>
      <c r="AI248" s="17" cm="1">
        <f t="array" ref="AI248">$H248 *
IF(ISNUMBER(SEARCH("Rapid",$L248)),7/6,1) *
IF(OR(ISNUMBER(SEARCH("Beam",$L248)),ISNUMBER(SEARCH("Firestorm",$L248))),1, IF(ISNUMBER(SEARCH("Blast",$L248)),(4+$G248+(2-$G248)*0.5)/6*2,(4+$G248)/6)) *
_xlfn.IFS(AI$24-$I248 &lt;=1, 5/6, AI$24-$I248 &lt;=5, (7-(AI$24-$I248))/6, AND(AI$24-$I248 =6,NOT(_xlfn.IFNA(ISNUMBER(SEARCH("Rending",$L248)),FALSE))), (7-(AI$24-$I248))/6, AND(AI$24-$I248 &gt;=7,NOT(_xlfn.IFNA(ISNUMBER(SEARCH("Rending",$L248)),FALSE))), 0, AI$24-$I248 =7, (7-(AI$24-1-$I248))/6, AI$24-$I248 =8, (7-(AI$24-2-$I248))/6*2/3, AI$24-$I248 =9, (7-(AI$24-3-$I248))/6*1/3, TRUE, 0) *
IF(ISNUMBER(SEARCH("Ordinance",$L248)),7/6,1) *
IF(OR(ISNUMBER(SEARCH("Melee",$L248)),ISNUMBER(SEARCH("Bypass",$L248))),1.5,1)</f>
        <v>1</v>
      </c>
      <c r="AJ248" s="17" cm="1">
        <f t="array" ref="AJ248">$H248 *
IF(ISNUMBER(SEARCH("Rapid",$L248)),7/6,1) *
IF(OR(ISNUMBER(SEARCH("Beam",$L248)),ISNUMBER(SEARCH("Firestorm",$L248))),1, IF(ISNUMBER(SEARCH("Blast",$L248)),(4+$G248+(2-$G248)*0.5)/6*2,(4+$G248)/6)) *
_xlfn.IFS(AJ$24-$I248 &lt;=1, 5/6, AJ$24-$I248 &lt;=5, (7-(AJ$24-$I248))/6, AND(AJ$24-$I248 =6,NOT(_xlfn.IFNA(ISNUMBER(SEARCH("Rending",$L248)),FALSE))), (7-(AJ$24-$I248))/6, AND(AJ$24-$I248 &gt;=7,NOT(_xlfn.IFNA(ISNUMBER(SEARCH("Rending",$L248)),FALSE))), 0, AJ$24-$I248 =7, (7-(AJ$24-1-$I248))/6, AJ$24-$I248 =8, (7-(AJ$24-2-$I248))/6*2/3, AJ$24-$I248 =9, (7-(AJ$24-3-$I248))/6*1/3, TRUE, 0) *
IF(ISNUMBER(SEARCH("Ordinance",$L248)),7/6,1) *
IF(OR(ISNUMBER(SEARCH("Melee",$L248)),ISNUMBER(SEARCH("Bypass",$L248))),1.5,1)</f>
        <v>0.66666666666666663</v>
      </c>
      <c r="AK248" s="17" cm="1">
        <f t="array" ref="AK248">$H248 *
IF(ISNUMBER(SEARCH("Rapid",$L248)),7/6,1) *
IF(OR(ISNUMBER(SEARCH("Beam",$L248)),ISNUMBER(SEARCH("Firestorm",$L248))),1, IF(ISNUMBER(SEARCH("Blast",$L248)),(4+$G248+(2-$G248)*0.5)/6*2,(4+$G248)/6)) *
_xlfn.IFS(AK$24-$I248 &lt;=1, 5/6, AK$24-$I248 &lt;=5, (7-(AK$24-$I248))/6, AND(AK$24-$I248 =6,NOT(_xlfn.IFNA(ISNUMBER(SEARCH("Rending",$L248)),FALSE))), (7-(AK$24-$I248))/6, AND(AK$24-$I248 &gt;=7,NOT(_xlfn.IFNA(ISNUMBER(SEARCH("Rending",$L248)),FALSE))), 0, AK$24-$I248 =7, (7-(AK$24-1-$I248))/6, AK$24-$I248 =8, (7-(AK$24-2-$I248))/6*2/3, AK$24-$I248 =9, (7-(AK$24-3-$I248))/6*1/3, TRUE, 0) *
IF(ISNUMBER(SEARCH("Ordinance",$L248)),7/6,1) *
IF(OR(ISNUMBER(SEARCH("Melee",$L248)),ISNUMBER(SEARCH("Bypass",$L248))),1.5,1)</f>
        <v>0.33333333333333331</v>
      </c>
      <c r="AL248" s="17" cm="1">
        <f t="array" ref="AL248">$H248 *
IF(ISNUMBER(SEARCH("Rapid",$L248)),7/6,1) *
IF(OR(ISNUMBER(SEARCH("Beam",$L248)),ISNUMBER(SEARCH("Firestorm",$L248))),1, IF(ISNUMBER(SEARCH("Blast",$L248)),(4+$G248+(2-$G248)*0.5)/6*2,(4+$G248)/6)) *
_xlfn.IFS(AL$24-$I248 &lt;=1, 5/6, AL$24-$I248 &lt;=5, (7-(AL$24-$I248))/6, AND(AL$24-$I248 =6,NOT(_xlfn.IFNA(ISNUMBER(SEARCH("Rending",$L248)),FALSE))), (7-(AL$24-$I248))/6, AND(AL$24-$I248 &gt;=7,NOT(_xlfn.IFNA(ISNUMBER(SEARCH("Rending",$L248)),FALSE))), 0, AL$24-$I248 =7, (7-(AL$24-1-$I248))/6, AL$24-$I248 =8, (7-(AL$24-2-$I248))/6*2/3, AL$24-$I248 =9, (7-(AL$24-3-$I248))/6*1/3, TRUE, 0) *
IF(ISNUMBER(SEARCH("Ordinance",$L248)),7/6,1) *
IF(OR(ISNUMBER(SEARCH("Melee",$L248)),ISNUMBER(SEARCH("Bypass",$L248))),1.5,1)</f>
        <v>0</v>
      </c>
      <c r="AM248" s="17" cm="1">
        <f t="array" ref="AM248">$H248 *
IF(ISNUMBER(SEARCH("Rapid",$L248)),7/6,1) *
IF(OR(ISNUMBER(SEARCH("Beam",$L248)),ISNUMBER(SEARCH("Firestorm",$L248))),1, IF(ISNUMBER(SEARCH("Blast",$L248)),(4+$G248+(2-$G248)*0.5)/6*2,(4+$G248)/6)) *
_xlfn.IFS(AM$24-$I248 &lt;=1, 5/6, AM$24-$I248 &lt;=5, (7-(AM$24-$I248))/6, AND(AM$24-$I248 =6,NOT(_xlfn.IFNA(ISNUMBER(SEARCH("Rending",$L248)),FALSE))), (7-(AM$24-$I248))/6, AND(AM$24-$I248 &gt;=7,NOT(_xlfn.IFNA(ISNUMBER(SEARCH("Rending",$L248)),FALSE))), 0, AM$24-$I248 =7, (7-(AM$24-1-$I248))/6, AM$24-$I248 =8, (7-(AM$24-2-$I248))/6*2/3, AM$24-$I248 =9, (7-(AM$24-3-$I248))/6*1/3, TRUE, 0) *
IF(ISNUMBER(SEARCH("Ordinance",$L248)),7/6,1) *
IF(OR(ISNUMBER(SEARCH("Melee",$L248)),ISNUMBER(SEARCH("Bypass",$L248))),1.5,1)</f>
        <v>0</v>
      </c>
      <c r="AN248" s="17" cm="1">
        <f t="array" ref="AN248">$H248 *
IF(ISNUMBER(SEARCH("Rapid",$L248)),7/6,1) *
IF(OR(ISNUMBER(SEARCH("Beam",$L248)),ISNUMBER(SEARCH("Firestorm",$L248))),1, IF(ISNUMBER(SEARCH("Blast",$L248)),(4+$G248+(2-$G248)*0.5)/6*2,(4+$G248)/6)) *
_xlfn.IFS(AN$24-$I248 &lt;=1, 5/6, AN$24-$I248 &lt;=5, (7-(AN$24-$I248))/6, AND(AN$24-$I248 =6,NOT(_xlfn.IFNA(ISNUMBER(SEARCH("Rending",$L248)),FALSE))), (7-(AN$24-$I248))/6, AND(AN$24-$I248 &gt;=7,NOT(_xlfn.IFNA(ISNUMBER(SEARCH("Rending",$L248)),FALSE))), 0, AN$24-$I248 =7, (7-(AN$24-1-$I248))/6, AN$24-$I248 =8, (7-(AN$24-2-$I248))/6*2/3, AN$24-$I248 =9, (7-(AN$24-3-$I248))/6*1/3, TRUE, 0) *
IF(ISNUMBER(SEARCH("Ordinance",$L248)),7/6,1) *
IF(OR(ISNUMBER(SEARCH("Melee",$L248)),ISNUMBER(SEARCH("Bypass",$L248))),1.5,1)</f>
        <v>0</v>
      </c>
      <c r="AO248" s="17" cm="1">
        <f t="array" ref="AO248">$H248 *
IF(ISNUMBER(SEARCH("Rapid",$L248)),7/6,1) *
IF(OR(ISNUMBER(SEARCH("Beam",$L248)),ISNUMBER(SEARCH("Firestorm",$L248))),1, IF(ISNUMBER(SEARCH("Blast",$L248)),(4+$G248+(2-$G248)*0.5)/6*2,(4+$G248)/6)) *
_xlfn.IFS(AO$24-$I248 &lt;=1, 5/6, AO$24-$I248 &lt;=5, (7-(AO$24-$I248))/6, AND(AO$24-$I248 =6,NOT(_xlfn.IFNA(ISNUMBER(SEARCH("Rending",$L248)),FALSE))), (7-(AO$24-$I248))/6, AND(AO$24-$I248 &gt;=7,NOT(_xlfn.IFNA(ISNUMBER(SEARCH("Rending",$L248)),FALSE))), 0, AO$24-$I248 =7, (7-(AO$24-1-$I248))/6, AO$24-$I248 =8, (7-(AO$24-2-$I248))/6*2/3, AO$24-$I248 =9, (7-(AO$24-3-$I248))/6*1/3, TRUE, 0) *
IF(ISNUMBER(SEARCH("Ordinance",$L248)),7/6,1) *
IF(OR(ISNUMBER(SEARCH("Melee",$L248)),ISNUMBER(SEARCH("Bypass",$L248))),1.5,1)</f>
        <v>0</v>
      </c>
      <c r="AP248" s="17" cm="1">
        <f t="array" ref="AP248">$H248 *
IF(ISNUMBER(SEARCH("Rapid",$L248)),7/6,1) *
IF(OR(ISNUMBER(SEARCH("Beam",$L248)),ISNUMBER(SEARCH("Firestorm",$L248))),1, IF(ISNUMBER(SEARCH("Blast",$L248)),(4+$G248+(2-$G248)*0.5)/6*2,(4+$G248)/6)) *
_xlfn.IFS(AP$24-$I248 &lt;=1, 5/6, AP$24-$I248 &lt;=5, (7-(AP$24-$I248))/6, AND(AP$24-$I248 =6,NOT(_xlfn.IFNA(ISNUMBER(SEARCH("Rending",$L248)),FALSE))), (7-(AP$24-$I248))/6, AND(AP$24-$I248 &gt;=7,NOT(_xlfn.IFNA(ISNUMBER(SEARCH("Rending",$L248)),FALSE))), 0, AP$24-$I248 =7, (7-(AP$24-1-$I248))/6, AP$24-$I248 =8, (7-(AP$24-2-$I248))/6*2/3, AP$24-$I248 =9, (7-(AP$24-3-$I248))/6*1/3, TRUE, 0) *
IF(ISNUMBER(SEARCH("Ordinance",$L248)),7/6,1) *
IF(OR(ISNUMBER(SEARCH("Melee",$L248)),ISNUMBER(SEARCH("Bypass",$L248))),1.5,1)</f>
        <v>0</v>
      </c>
      <c r="AQ248" s="17" cm="1">
        <f t="array" ref="AQ248">$H248 *
IF(ISNUMBER(SEARCH("Rapid",$L248)),7/6,1) *
IF(OR(ISNUMBER(SEARCH("Beam",$L248)),ISNUMBER(SEARCH("Firestorm",$L248))),1, IF(ISNUMBER(SEARCH("Blast",$L248)),(4+$G248+(2-$G248)*0.5)/6*2,(4+$G248)/6)) *
_xlfn.IFS(AQ$24-$I248 &lt;=1, 5/6, AQ$24-$I248 &lt;=5, (7-(AQ$24-$I248))/6, AND(AQ$24-$I248 =6,NOT(_xlfn.IFNA(ISNUMBER(SEARCH("Rending",$L248)),FALSE))), (7-(AQ$24-$I248))/6, AND(AQ$24-$I248 &gt;=7,NOT(_xlfn.IFNA(ISNUMBER(SEARCH("Rending",$L248)),FALSE))), 0, AQ$24-$I248 =7, (7-(AQ$24-1-$I248))/6, AQ$24-$I248 =8, (7-(AQ$24-2-$I248))/6*2/3, AQ$24-$I248 =9, (7-(AQ$24-3-$I248))/6*1/3, TRUE, 0) *
IF(ISNUMBER(SEARCH("Ordinance",$L248)),7/6,1) *
IF(OR(ISNUMBER(SEARCH("Melee",$L248)),ISNUMBER(SEARCH("Bypass",$L248))),1.5,1)</f>
        <v>0</v>
      </c>
      <c r="AS248" s="16">
        <f t="shared" si="72"/>
        <v>0.24444444444444446</v>
      </c>
      <c r="AT248" s="16">
        <f t="shared" si="73"/>
        <v>0.3666666666666667</v>
      </c>
      <c r="AU248" s="16">
        <f t="shared" si="74"/>
        <v>0.23333333333333331</v>
      </c>
      <c r="AV248" s="2">
        <v>11</v>
      </c>
    </row>
    <row r="249" spans="1:48" x14ac:dyDescent="0.3">
      <c r="A249" t="s">
        <v>813</v>
      </c>
      <c r="B249" s="3">
        <v>15</v>
      </c>
      <c r="C249" s="3">
        <v>30</v>
      </c>
      <c r="F249" s="10"/>
      <c r="G249" s="10"/>
      <c r="H249" s="3">
        <v>1</v>
      </c>
      <c r="I249" s="3">
        <v>6</v>
      </c>
      <c r="J249" s="3" t="s">
        <v>810</v>
      </c>
      <c r="K249" s="3">
        <v>0</v>
      </c>
      <c r="L249" s="3" t="s">
        <v>829</v>
      </c>
      <c r="V249" s="16">
        <f t="shared" si="65"/>
        <v>0.55555555555555558</v>
      </c>
      <c r="W249" s="16">
        <f t="shared" si="66"/>
        <v>0.83333333333333337</v>
      </c>
      <c r="X249" s="17" cm="1">
        <f t="array" ref="X249">$H249 *
IF(ISNUMBER(SEARCH("Rapid",$L249)),7/6,1) *
IF(OR(ISNUMBER(SEARCH("Beam",$L249)),ISNUMBER(SEARCH("Firestorm",$L249))),1, IF(ISNUMBER(SEARCH("Blast",$L249)),(4+$F249+(2-$F249)*0.5)/6*2,(4+$F249)/6)) *
IF(ISNUMBER(SEARCH("Fusion",$L249)), _xlfn.IFS(X$24-$I249 &lt;=1, 9/10, X$24-$I249 &lt;=10,(11-(X$24-$I249))/10, X$24-$I249 &gt;=11, 0),
_xlfn.IFS(X$24-$I249 &lt;=1, 5/6, X$24-$I249 &lt;=5, (7-(X$24-$I249))/6, AND(X$24-$I249 =6,NOT(_xlfn.IFNA(ISNUMBER(SEARCH("Rending",$L249)),FALSE))), (7-(X$24-$I249))/6, AND(X$24-$I249 &gt;=7,NOT(_xlfn.IFNA(ISNUMBER(SEARCH("Rending",$L249)),FALSE))), 0, X$24-$I249 =7, (7-(X$24-1-$I249))/6, X$24-$I249 =8, (7-(X$24-2-$I249))/6*2/3, X$24-$I249 =9, (7-(X$24-3-$I249))/6*1/3, TRUE, 0)) *
IF(ISNUMBER(SEARCH("Ordinance",$L249)),7/6,1) *
IF(OR(ISNUMBER(SEARCH("Melee",$L249)),ISNUMBER(SEARCH("Bypass",$L249))),1.5,1)</f>
        <v>1.1111111111111112</v>
      </c>
      <c r="Y249" s="17" cm="1">
        <f t="array" ref="Y249">$H249 *
IF(ISNUMBER(SEARCH("Rapid",$L249)),7/6,1) *
IF(OR(ISNUMBER(SEARCH("Beam",$L249)),ISNUMBER(SEARCH("Firestorm",$L249))),1, IF(ISNUMBER(SEARCH("Blast",$L249)),(4+$F249+(2-$F249)*0.5)/6*2,(4+$F249)/6)) *
IF(ISNUMBER(SEARCH("Fusion",$L249)), _xlfn.IFS(Y$24-$I249 &lt;=1, 9/10, Y$24-$I249 &lt;=10,(11-(Y$24-$I249))/10, Y$24-$I249 &gt;=11, 0),
_xlfn.IFS(Y$24-$I249 &lt;=1, 5/6, Y$24-$I249 &lt;=5, (7-(Y$24-$I249))/6, AND(Y$24-$I249 =6,NOT(_xlfn.IFNA(ISNUMBER(SEARCH("Rending",$L249)),FALSE))), (7-(Y$24-$I249))/6, AND(Y$24-$I249 &gt;=7,NOT(_xlfn.IFNA(ISNUMBER(SEARCH("Rending",$L249)),FALSE))), 0, Y$24-$I249 =7, (7-(Y$24-1-$I249))/6, Y$24-$I249 =8, (7-(Y$24-2-$I249))/6*2/3, Y$24-$I249 =9, (7-(Y$24-3-$I249))/6*1/3, TRUE, 0)) *
IF(ISNUMBER(SEARCH("Ordinance",$L249)),7/6,1) *
IF(OR(ISNUMBER(SEARCH("Melee",$L249)),ISNUMBER(SEARCH("Bypass",$L249))),1.5,1)</f>
        <v>0.83333333333333337</v>
      </c>
      <c r="Z249" s="17" cm="1">
        <f t="array" ref="Z249">$H249 *
IF(ISNUMBER(SEARCH("Rapid",$L249)),7/6,1) *
IF(OR(ISNUMBER(SEARCH("Beam",$L249)),ISNUMBER(SEARCH("Firestorm",$L249))),1, IF(ISNUMBER(SEARCH("Blast",$L249)),(4+$F249+(2-$F249)*0.5)/6*2,(4+$F249)/6)) *
IF(ISNUMBER(SEARCH("Fusion",$L249)), _xlfn.IFS(Z$24-$I249 &lt;=1, 9/10, Z$24-$I249 &lt;=10,(11-(Z$24-$I249))/10, Z$24-$I249 &gt;=11, 0),
_xlfn.IFS(Z$24-$I249 &lt;=1, 5/6, Z$24-$I249 &lt;=5, (7-(Z$24-$I249))/6, AND(Z$24-$I249 =6,NOT(_xlfn.IFNA(ISNUMBER(SEARCH("Rending",$L249)),FALSE))), (7-(Z$24-$I249))/6, AND(Z$24-$I249 &gt;=7,NOT(_xlfn.IFNA(ISNUMBER(SEARCH("Rending",$L249)),FALSE))), 0, Z$24-$I249 =7, (7-(Z$24-1-$I249))/6, Z$24-$I249 =8, (7-(Z$24-2-$I249))/6*2/3, Z$24-$I249 =9, (7-(Z$24-3-$I249))/6*1/3, TRUE, 0)) *
IF(ISNUMBER(SEARCH("Ordinance",$L249)),7/6,1) *
IF(OR(ISNUMBER(SEARCH("Melee",$L249)),ISNUMBER(SEARCH("Bypass",$L249))),1.5,1)</f>
        <v>0.55555555555555558</v>
      </c>
      <c r="AA249" s="17" cm="1">
        <f t="array" ref="AA249">$H249 *
IF(ISNUMBER(SEARCH("Rapid",$L249)),7/6,1) *
IF(OR(ISNUMBER(SEARCH("Beam",$L249)),ISNUMBER(SEARCH("Firestorm",$L249))),1, IF(ISNUMBER(SEARCH("Blast",$L249)),(4+$F249+(2-$F249)*0.5)/6*2,(4+$F249)/6)) *
IF(ISNUMBER(SEARCH("Fusion",$L249)), _xlfn.IFS(AA$24-$I249 &lt;=1, 9/10, AA$24-$I249 &lt;=10,(11-(AA$24-$I249))/10, AA$24-$I249 &gt;=11, 0),
_xlfn.IFS(AA$24-$I249 &lt;=1, 5/6, AA$24-$I249 &lt;=5, (7-(AA$24-$I249))/6, AND(AA$24-$I249 =6,NOT(_xlfn.IFNA(ISNUMBER(SEARCH("Rending",$L249)),FALSE))), (7-(AA$24-$I249))/6, AND(AA$24-$I249 &gt;=7,NOT(_xlfn.IFNA(ISNUMBER(SEARCH("Rending",$L249)),FALSE))), 0, AA$24-$I249 =7, (7-(AA$24-1-$I249))/6, AA$24-$I249 =8, (7-(AA$24-2-$I249))/6*2/3, AA$24-$I249 =9, (7-(AA$24-3-$I249))/6*1/3, TRUE, 0)) *
IF(ISNUMBER(SEARCH("Ordinance",$L249)),7/6,1) *
IF(OR(ISNUMBER(SEARCH("Melee",$L249)),ISNUMBER(SEARCH("Bypass",$L249))),1.5,1)</f>
        <v>0.27777777777777779</v>
      </c>
      <c r="AB249" s="17" cm="1">
        <f t="array" ref="AB249">$H249 *
IF(ISNUMBER(SEARCH("Rapid",$L249)),7/6,1) *
IF(OR(ISNUMBER(SEARCH("Beam",$L249)),ISNUMBER(SEARCH("Firestorm",$L249))),1, IF(ISNUMBER(SEARCH("Blast",$L249)),(4+$F249+(2-$F249)*0.5)/6*2,(4+$F249)/6)) *
IF(ISNUMBER(SEARCH("Fusion",$L249)), _xlfn.IFS(AB$24-$I249 &lt;=1, 9/10, AB$24-$I249 &lt;=10,(11-(AB$24-$I249))/10, AB$24-$I249 &gt;=11, 0),
_xlfn.IFS(AB$24-$I249 &lt;=1, 5/6, AB$24-$I249 &lt;=5, (7-(AB$24-$I249))/6, AND(AB$24-$I249 =6,NOT(_xlfn.IFNA(ISNUMBER(SEARCH("Rending",$L249)),FALSE))), (7-(AB$24-$I249))/6, AND(AB$24-$I249 &gt;=7,NOT(_xlfn.IFNA(ISNUMBER(SEARCH("Rending",$L249)),FALSE))), 0, AB$24-$I249 =7, (7-(AB$24-1-$I249))/6, AB$24-$I249 =8, (7-(AB$24-2-$I249))/6*2/3, AB$24-$I249 =9, (7-(AB$24-3-$I249))/6*1/3, TRUE, 0)) *
IF(ISNUMBER(SEARCH("Ordinance",$L249)),7/6,1) *
IF(OR(ISNUMBER(SEARCH("Melee",$L249)),ISNUMBER(SEARCH("Bypass",$L249))),1.5,1)</f>
        <v>0</v>
      </c>
      <c r="AC249" s="17" cm="1">
        <f t="array" ref="AC249">$H249 *
IF(ISNUMBER(SEARCH("Rapid",$L249)),7/6,1) *
IF(OR(ISNUMBER(SEARCH("Beam",$L249)),ISNUMBER(SEARCH("Firestorm",$L249))),1, IF(ISNUMBER(SEARCH("Blast",$L249)),(4+$F249+(2-$F249)*0.5)/6*2,(4+$F249)/6)) *
IF(ISNUMBER(SEARCH("Fusion",$L249)), _xlfn.IFS(AC$24-$I249 &lt;=1, 9/10, AC$24-$I249 &lt;=10,(11-(AC$24-$I249))/10, AC$24-$I249 &gt;=11, 0),
_xlfn.IFS(AC$24-$I249 &lt;=1, 5/6, AC$24-$I249 &lt;=5, (7-(AC$24-$I249))/6, AND(AC$24-$I249 =6,NOT(_xlfn.IFNA(ISNUMBER(SEARCH("Rending",$L249)),FALSE))), (7-(AC$24-$I249))/6, AND(AC$24-$I249 &gt;=7,NOT(_xlfn.IFNA(ISNUMBER(SEARCH("Rending",$L249)),FALSE))), 0, AC$24-$I249 =7, (7-(AC$24-1-$I249))/6, AC$24-$I249 =8, (7-(AC$24-2-$I249))/6*2/3, AC$24-$I249 =9, (7-(AC$24-3-$I249))/6*1/3, TRUE, 0)) *
IF(ISNUMBER(SEARCH("Ordinance",$L249)),7/6,1) *
IF(OR(ISNUMBER(SEARCH("Melee",$L249)),ISNUMBER(SEARCH("Bypass",$L249))),1.5,1)</f>
        <v>0</v>
      </c>
      <c r="AD249" s="17" cm="1">
        <f t="array" ref="AD249">$H249 *
IF(ISNUMBER(SEARCH("Rapid",$L249)),7/6,1) *
IF(OR(ISNUMBER(SEARCH("Beam",$L249)),ISNUMBER(SEARCH("Firestorm",$L249))),1, IF(ISNUMBER(SEARCH("Blast",$L249)),(4+$F249+(2-$F249)*0.5)/6*2,(4+$F249)/6)) *
IF(ISNUMBER(SEARCH("Fusion",$L249)), _xlfn.IFS(AD$24-$I249 &lt;=1, 9/10, AD$24-$I249 &lt;=10,(11-(AD$24-$I249))/10, AD$24-$I249 &gt;=11, 0),
_xlfn.IFS(AD$24-$I249 &lt;=1, 5/6, AD$24-$I249 &lt;=5, (7-(AD$24-$I249))/6, AND(AD$24-$I249 =6,NOT(_xlfn.IFNA(ISNUMBER(SEARCH("Rending",$L249)),FALSE))), (7-(AD$24-$I249))/6, AND(AD$24-$I249 &gt;=7,NOT(_xlfn.IFNA(ISNUMBER(SEARCH("Rending",$L249)),FALSE))), 0, AD$24-$I249 =7, (7-(AD$24-1-$I249))/6, AD$24-$I249 =8, (7-(AD$24-2-$I249))/6*2/3, AD$24-$I249 =9, (7-(AD$24-3-$I249))/6*1/3, TRUE, 0)) *
IF(ISNUMBER(SEARCH("Ordinance",$L249)),7/6,1) *
IF(OR(ISNUMBER(SEARCH("Melee",$L249)),ISNUMBER(SEARCH("Bypass",$L249))),1.5,1)</f>
        <v>0</v>
      </c>
      <c r="AE249" s="17" cm="1">
        <f t="array" ref="AE249">$H249 *
IF(ISNUMBER(SEARCH("Rapid",$L249)),7/6,1) *
IF(OR(ISNUMBER(SEARCH("Beam",$L249)),ISNUMBER(SEARCH("Firestorm",$L249))),1, IF(ISNUMBER(SEARCH("Blast",$L249)),(4+$F249+(2-$F249)*0.5)/6*2,(4+$F249)/6)) *
IF(ISNUMBER(SEARCH("Fusion",$L249)), _xlfn.IFS(AE$24-$I249 &lt;=1, 9/10, AE$24-$I249 &lt;=10,(11-(AE$24-$I249))/10, AE$24-$I249 &gt;=11, 0),
_xlfn.IFS(AE$24-$I249 &lt;=1, 5/6, AE$24-$I249 &lt;=5, (7-(AE$24-$I249))/6, AND(AE$24-$I249 =6,NOT(_xlfn.IFNA(ISNUMBER(SEARCH("Rending",$L249)),FALSE))), (7-(AE$24-$I249))/6, AND(AE$24-$I249 &gt;=7,NOT(_xlfn.IFNA(ISNUMBER(SEARCH("Rending",$L249)),FALSE))), 0, AE$24-$I249 =7, (7-(AE$24-1-$I249))/6, AE$24-$I249 =8, (7-(AE$24-2-$I249))/6*2/3, AE$24-$I249 =9, (7-(AE$24-3-$I249))/6*1/3, TRUE, 0)) *
IF(ISNUMBER(SEARCH("Ordinance",$L249)),7/6,1) *
IF(OR(ISNUMBER(SEARCH("Melee",$L249)),ISNUMBER(SEARCH("Bypass",$L249))),1.5,1)</f>
        <v>0</v>
      </c>
      <c r="AF249" s="17" cm="1">
        <f t="array" ref="AF249">$H249 *
IF(ISNUMBER(SEARCH("Rapid",$L249)),7/6,1) *
IF(OR(ISNUMBER(SEARCH("Beam",$L249)),ISNUMBER(SEARCH("Firestorm",$L249))),1, IF(ISNUMBER(SEARCH("Blast",$L249)),(4+$F249+(2-$F249)*0.5)/6*2,(4+$F249)/6)) *
IF(ISNUMBER(SEARCH("Fusion",$L249)), _xlfn.IFS(AF$24-$I249 &lt;=1, 9/10, AF$24-$I249 &lt;=10,(11-(AF$24-$I249))/10, AF$24-$I249 &gt;=11, 0),
_xlfn.IFS(AF$24-$I249 &lt;=1, 5/6, AF$24-$I249 &lt;=5, (7-(AF$24-$I249))/6, AND(AF$24-$I249 =6,NOT(_xlfn.IFNA(ISNUMBER(SEARCH("Rending",$L249)),FALSE))), (7-(AF$24-$I249))/6, AND(AF$24-$I249 &gt;=7,NOT(_xlfn.IFNA(ISNUMBER(SEARCH("Rending",$L249)),FALSE))), 0, AF$24-$I249 =7, (7-(AF$24-1-$I249))/6, AF$24-$I249 =8, (7-(AF$24-2-$I249))/6*2/3, AF$24-$I249 =9, (7-(AF$24-3-$I249))/6*1/3, TRUE, 0)) *
IF(ISNUMBER(SEARCH("Ordinance",$L249)),7/6,1) *
IF(OR(ISNUMBER(SEARCH("Melee",$L249)),ISNUMBER(SEARCH("Bypass",$L249))),1.5,1)</f>
        <v>0</v>
      </c>
      <c r="AG249" s="16">
        <f t="shared" si="67"/>
        <v>0.55555555555555558</v>
      </c>
      <c r="AH249" s="16">
        <f t="shared" si="68"/>
        <v>0.83333333333333337</v>
      </c>
      <c r="AI249" s="17" cm="1">
        <f t="array" ref="AI249">$H249 *
IF(ISNUMBER(SEARCH("Rapid",$L249)),7/6,1) *
IF(OR(ISNUMBER(SEARCH("Beam",$L249)),ISNUMBER(SEARCH("Firestorm",$L249))),1, IF(ISNUMBER(SEARCH("Blast",$L249)),(4+$G249+(2-$G249)*0.5)/6*2,(4+$G249)/6)) *
_xlfn.IFS(AI$24-$I249 &lt;=1, 5/6, AI$24-$I249 &lt;=5, (7-(AI$24-$I249))/6, AND(AI$24-$I249 =6,NOT(_xlfn.IFNA(ISNUMBER(SEARCH("Rending",$L249)),FALSE))), (7-(AI$24-$I249))/6, AND(AI$24-$I249 &gt;=7,NOT(_xlfn.IFNA(ISNUMBER(SEARCH("Rending",$L249)),FALSE))), 0, AI$24-$I249 =7, (7-(AI$24-1-$I249))/6, AI$24-$I249 =8, (7-(AI$24-2-$I249))/6*2/3, AI$24-$I249 =9, (7-(AI$24-3-$I249))/6*1/3, TRUE, 0) *
IF(ISNUMBER(SEARCH("Ordinance",$L249)),7/6,1) *
IF(OR(ISNUMBER(SEARCH("Melee",$L249)),ISNUMBER(SEARCH("Bypass",$L249))),1.5,1)</f>
        <v>1.1111111111111112</v>
      </c>
      <c r="AJ249" s="17" cm="1">
        <f t="array" ref="AJ249">$H249 *
IF(ISNUMBER(SEARCH("Rapid",$L249)),7/6,1) *
IF(OR(ISNUMBER(SEARCH("Beam",$L249)),ISNUMBER(SEARCH("Firestorm",$L249))),1, IF(ISNUMBER(SEARCH("Blast",$L249)),(4+$G249+(2-$G249)*0.5)/6*2,(4+$G249)/6)) *
_xlfn.IFS(AJ$24-$I249 &lt;=1, 5/6, AJ$24-$I249 &lt;=5, (7-(AJ$24-$I249))/6, AND(AJ$24-$I249 =6,NOT(_xlfn.IFNA(ISNUMBER(SEARCH("Rending",$L249)),FALSE))), (7-(AJ$24-$I249))/6, AND(AJ$24-$I249 &gt;=7,NOT(_xlfn.IFNA(ISNUMBER(SEARCH("Rending",$L249)),FALSE))), 0, AJ$24-$I249 =7, (7-(AJ$24-1-$I249))/6, AJ$24-$I249 =8, (7-(AJ$24-2-$I249))/6*2/3, AJ$24-$I249 =9, (7-(AJ$24-3-$I249))/6*1/3, TRUE, 0) *
IF(ISNUMBER(SEARCH("Ordinance",$L249)),7/6,1) *
IF(OR(ISNUMBER(SEARCH("Melee",$L249)),ISNUMBER(SEARCH("Bypass",$L249))),1.5,1)</f>
        <v>0.83333333333333337</v>
      </c>
      <c r="AK249" s="17" cm="1">
        <f t="array" ref="AK249">$H249 *
IF(ISNUMBER(SEARCH("Rapid",$L249)),7/6,1) *
IF(OR(ISNUMBER(SEARCH("Beam",$L249)),ISNUMBER(SEARCH("Firestorm",$L249))),1, IF(ISNUMBER(SEARCH("Blast",$L249)),(4+$G249+(2-$G249)*0.5)/6*2,(4+$G249)/6)) *
_xlfn.IFS(AK$24-$I249 &lt;=1, 5/6, AK$24-$I249 &lt;=5, (7-(AK$24-$I249))/6, AND(AK$24-$I249 =6,NOT(_xlfn.IFNA(ISNUMBER(SEARCH("Rending",$L249)),FALSE))), (7-(AK$24-$I249))/6, AND(AK$24-$I249 &gt;=7,NOT(_xlfn.IFNA(ISNUMBER(SEARCH("Rending",$L249)),FALSE))), 0, AK$24-$I249 =7, (7-(AK$24-1-$I249))/6, AK$24-$I249 =8, (7-(AK$24-2-$I249))/6*2/3, AK$24-$I249 =9, (7-(AK$24-3-$I249))/6*1/3, TRUE, 0) *
IF(ISNUMBER(SEARCH("Ordinance",$L249)),7/6,1) *
IF(OR(ISNUMBER(SEARCH("Melee",$L249)),ISNUMBER(SEARCH("Bypass",$L249))),1.5,1)</f>
        <v>0.55555555555555558</v>
      </c>
      <c r="AL249" s="17" cm="1">
        <f t="array" ref="AL249">$H249 *
IF(ISNUMBER(SEARCH("Rapid",$L249)),7/6,1) *
IF(OR(ISNUMBER(SEARCH("Beam",$L249)),ISNUMBER(SEARCH("Firestorm",$L249))),1, IF(ISNUMBER(SEARCH("Blast",$L249)),(4+$G249+(2-$G249)*0.5)/6*2,(4+$G249)/6)) *
_xlfn.IFS(AL$24-$I249 &lt;=1, 5/6, AL$24-$I249 &lt;=5, (7-(AL$24-$I249))/6, AND(AL$24-$I249 =6,NOT(_xlfn.IFNA(ISNUMBER(SEARCH("Rending",$L249)),FALSE))), (7-(AL$24-$I249))/6, AND(AL$24-$I249 &gt;=7,NOT(_xlfn.IFNA(ISNUMBER(SEARCH("Rending",$L249)),FALSE))), 0, AL$24-$I249 =7, (7-(AL$24-1-$I249))/6, AL$24-$I249 =8, (7-(AL$24-2-$I249))/6*2/3, AL$24-$I249 =9, (7-(AL$24-3-$I249))/6*1/3, TRUE, 0) *
IF(ISNUMBER(SEARCH("Ordinance",$L249)),7/6,1) *
IF(OR(ISNUMBER(SEARCH("Melee",$L249)),ISNUMBER(SEARCH("Bypass",$L249))),1.5,1)</f>
        <v>0.27777777777777779</v>
      </c>
      <c r="AM249" s="17" cm="1">
        <f t="array" ref="AM249">$H249 *
IF(ISNUMBER(SEARCH("Rapid",$L249)),7/6,1) *
IF(OR(ISNUMBER(SEARCH("Beam",$L249)),ISNUMBER(SEARCH("Firestorm",$L249))),1, IF(ISNUMBER(SEARCH("Blast",$L249)),(4+$G249+(2-$G249)*0.5)/6*2,(4+$G249)/6)) *
_xlfn.IFS(AM$24-$I249 &lt;=1, 5/6, AM$24-$I249 &lt;=5, (7-(AM$24-$I249))/6, AND(AM$24-$I249 =6,NOT(_xlfn.IFNA(ISNUMBER(SEARCH("Rending",$L249)),FALSE))), (7-(AM$24-$I249))/6, AND(AM$24-$I249 &gt;=7,NOT(_xlfn.IFNA(ISNUMBER(SEARCH("Rending",$L249)),FALSE))), 0, AM$24-$I249 =7, (7-(AM$24-1-$I249))/6, AM$24-$I249 =8, (7-(AM$24-2-$I249))/6*2/3, AM$24-$I249 =9, (7-(AM$24-3-$I249))/6*1/3, TRUE, 0) *
IF(ISNUMBER(SEARCH("Ordinance",$L249)),7/6,1) *
IF(OR(ISNUMBER(SEARCH("Melee",$L249)),ISNUMBER(SEARCH("Bypass",$L249))),1.5,1)</f>
        <v>0</v>
      </c>
      <c r="AN249" s="17" cm="1">
        <f t="array" ref="AN249">$H249 *
IF(ISNUMBER(SEARCH("Rapid",$L249)),7/6,1) *
IF(OR(ISNUMBER(SEARCH("Beam",$L249)),ISNUMBER(SEARCH("Firestorm",$L249))),1, IF(ISNUMBER(SEARCH("Blast",$L249)),(4+$G249+(2-$G249)*0.5)/6*2,(4+$G249)/6)) *
_xlfn.IFS(AN$24-$I249 &lt;=1, 5/6, AN$24-$I249 &lt;=5, (7-(AN$24-$I249))/6, AND(AN$24-$I249 =6,NOT(_xlfn.IFNA(ISNUMBER(SEARCH("Rending",$L249)),FALSE))), (7-(AN$24-$I249))/6, AND(AN$24-$I249 &gt;=7,NOT(_xlfn.IFNA(ISNUMBER(SEARCH("Rending",$L249)),FALSE))), 0, AN$24-$I249 =7, (7-(AN$24-1-$I249))/6, AN$24-$I249 =8, (7-(AN$24-2-$I249))/6*2/3, AN$24-$I249 =9, (7-(AN$24-3-$I249))/6*1/3, TRUE, 0) *
IF(ISNUMBER(SEARCH("Ordinance",$L249)),7/6,1) *
IF(OR(ISNUMBER(SEARCH("Melee",$L249)),ISNUMBER(SEARCH("Bypass",$L249))),1.5,1)</f>
        <v>0</v>
      </c>
      <c r="AO249" s="17" cm="1">
        <f t="array" ref="AO249">$H249 *
IF(ISNUMBER(SEARCH("Rapid",$L249)),7/6,1) *
IF(OR(ISNUMBER(SEARCH("Beam",$L249)),ISNUMBER(SEARCH("Firestorm",$L249))),1, IF(ISNUMBER(SEARCH("Blast",$L249)),(4+$G249+(2-$G249)*0.5)/6*2,(4+$G249)/6)) *
_xlfn.IFS(AO$24-$I249 &lt;=1, 5/6, AO$24-$I249 &lt;=5, (7-(AO$24-$I249))/6, AND(AO$24-$I249 =6,NOT(_xlfn.IFNA(ISNUMBER(SEARCH("Rending",$L249)),FALSE))), (7-(AO$24-$I249))/6, AND(AO$24-$I249 &gt;=7,NOT(_xlfn.IFNA(ISNUMBER(SEARCH("Rending",$L249)),FALSE))), 0, AO$24-$I249 =7, (7-(AO$24-1-$I249))/6, AO$24-$I249 =8, (7-(AO$24-2-$I249))/6*2/3, AO$24-$I249 =9, (7-(AO$24-3-$I249))/6*1/3, TRUE, 0) *
IF(ISNUMBER(SEARCH("Ordinance",$L249)),7/6,1) *
IF(OR(ISNUMBER(SEARCH("Melee",$L249)),ISNUMBER(SEARCH("Bypass",$L249))),1.5,1)</f>
        <v>0</v>
      </c>
      <c r="AP249" s="17" cm="1">
        <f t="array" ref="AP249">$H249 *
IF(ISNUMBER(SEARCH("Rapid",$L249)),7/6,1) *
IF(OR(ISNUMBER(SEARCH("Beam",$L249)),ISNUMBER(SEARCH("Firestorm",$L249))),1, IF(ISNUMBER(SEARCH("Blast",$L249)),(4+$G249+(2-$G249)*0.5)/6*2,(4+$G249)/6)) *
_xlfn.IFS(AP$24-$I249 &lt;=1, 5/6, AP$24-$I249 &lt;=5, (7-(AP$24-$I249))/6, AND(AP$24-$I249 =6,NOT(_xlfn.IFNA(ISNUMBER(SEARCH("Rending",$L249)),FALSE))), (7-(AP$24-$I249))/6, AND(AP$24-$I249 &gt;=7,NOT(_xlfn.IFNA(ISNUMBER(SEARCH("Rending",$L249)),FALSE))), 0, AP$24-$I249 =7, (7-(AP$24-1-$I249))/6, AP$24-$I249 =8, (7-(AP$24-2-$I249))/6*2/3, AP$24-$I249 =9, (7-(AP$24-3-$I249))/6*1/3, TRUE, 0) *
IF(ISNUMBER(SEARCH("Ordinance",$L249)),7/6,1) *
IF(OR(ISNUMBER(SEARCH("Melee",$L249)),ISNUMBER(SEARCH("Bypass",$L249))),1.5,1)</f>
        <v>0</v>
      </c>
      <c r="AQ249" s="17" cm="1">
        <f t="array" ref="AQ249">$H249 *
IF(ISNUMBER(SEARCH("Rapid",$L249)),7/6,1) *
IF(OR(ISNUMBER(SEARCH("Beam",$L249)),ISNUMBER(SEARCH("Firestorm",$L249))),1, IF(ISNUMBER(SEARCH("Blast",$L249)),(4+$G249+(2-$G249)*0.5)/6*2,(4+$G249)/6)) *
_xlfn.IFS(AQ$24-$I249 &lt;=1, 5/6, AQ$24-$I249 &lt;=5, (7-(AQ$24-$I249))/6, AND(AQ$24-$I249 =6,NOT(_xlfn.IFNA(ISNUMBER(SEARCH("Rending",$L249)),FALSE))), (7-(AQ$24-$I249))/6, AND(AQ$24-$I249 &gt;=7,NOT(_xlfn.IFNA(ISNUMBER(SEARCH("Rending",$L249)),FALSE))), 0, AQ$24-$I249 =7, (7-(AQ$24-1-$I249))/6, AQ$24-$I249 =8, (7-(AQ$24-2-$I249))/6*2/3, AQ$24-$I249 =9, (7-(AQ$24-3-$I249))/6*1/3, TRUE, 0) *
IF(ISNUMBER(SEARCH("Ordinance",$L249)),7/6,1) *
IF(OR(ISNUMBER(SEARCH("Melee",$L249)),ISNUMBER(SEARCH("Bypass",$L249))),1.5,1)</f>
        <v>0</v>
      </c>
      <c r="AS249" s="16">
        <f t="shared" si="72"/>
        <v>0.20370370370370372</v>
      </c>
      <c r="AT249" s="16">
        <f t="shared" si="73"/>
        <v>0.30555555555555558</v>
      </c>
      <c r="AU249" s="16">
        <f t="shared" si="74"/>
        <v>0.25925925925925924</v>
      </c>
      <c r="AV249" s="2">
        <v>11</v>
      </c>
    </row>
    <row r="250" spans="1:48" x14ac:dyDescent="0.3">
      <c r="A250" t="s">
        <v>877</v>
      </c>
      <c r="B250" s="3">
        <v>15</v>
      </c>
      <c r="C250" s="3">
        <v>30</v>
      </c>
      <c r="F250" s="10"/>
      <c r="G250" s="10"/>
      <c r="H250" s="3">
        <v>6</v>
      </c>
      <c r="I250" s="3">
        <v>6</v>
      </c>
      <c r="J250" s="3" t="s">
        <v>810</v>
      </c>
      <c r="K250" s="3">
        <v>0</v>
      </c>
      <c r="L250" s="3" t="s">
        <v>829</v>
      </c>
      <c r="V250" s="16">
        <f t="shared" si="65"/>
        <v>3.333333333333333</v>
      </c>
      <c r="W250" s="16">
        <f t="shared" si="66"/>
        <v>5</v>
      </c>
      <c r="X250" s="17" cm="1">
        <f t="array" ref="X250">$H250 *
IF(ISNUMBER(SEARCH("Rapid",$L250)),7/6,1) *
IF(OR(ISNUMBER(SEARCH("Beam",$L250)),ISNUMBER(SEARCH("Firestorm",$L250))),1, IF(ISNUMBER(SEARCH("Blast",$L250)),(4+$F250+(2-$F250)*0.5)/6*2,(4+$F250)/6)) *
IF(ISNUMBER(SEARCH("Fusion",$L250)), _xlfn.IFS(X$24-$I250 &lt;=1, 9/10, X$24-$I250 &lt;=10,(11-(X$24-$I250))/10, X$24-$I250 &gt;=11, 0),
_xlfn.IFS(X$24-$I250 &lt;=1, 5/6, X$24-$I250 &lt;=5, (7-(X$24-$I250))/6, AND(X$24-$I250 =6,NOT(_xlfn.IFNA(ISNUMBER(SEARCH("Rending",$L250)),FALSE))), (7-(X$24-$I250))/6, AND(X$24-$I250 &gt;=7,NOT(_xlfn.IFNA(ISNUMBER(SEARCH("Rending",$L250)),FALSE))), 0, X$24-$I250 =7, (7-(X$24-1-$I250))/6, X$24-$I250 =8, (7-(X$24-2-$I250))/6*2/3, X$24-$I250 =9, (7-(X$24-3-$I250))/6*1/3, TRUE, 0)) *
IF(ISNUMBER(SEARCH("Ordinance",$L250)),7/6,1) *
IF(OR(ISNUMBER(SEARCH("Melee",$L250)),ISNUMBER(SEARCH("Bypass",$L250))),1.5,1)</f>
        <v>6.6666666666666661</v>
      </c>
      <c r="Y250" s="17" cm="1">
        <f t="array" ref="Y250">$H250 *
IF(ISNUMBER(SEARCH("Rapid",$L250)),7/6,1) *
IF(OR(ISNUMBER(SEARCH("Beam",$L250)),ISNUMBER(SEARCH("Firestorm",$L250))),1, IF(ISNUMBER(SEARCH("Blast",$L250)),(4+$F250+(2-$F250)*0.5)/6*2,(4+$F250)/6)) *
IF(ISNUMBER(SEARCH("Fusion",$L250)), _xlfn.IFS(Y$24-$I250 &lt;=1, 9/10, Y$24-$I250 &lt;=10,(11-(Y$24-$I250))/10, Y$24-$I250 &gt;=11, 0),
_xlfn.IFS(Y$24-$I250 &lt;=1, 5/6, Y$24-$I250 &lt;=5, (7-(Y$24-$I250))/6, AND(Y$24-$I250 =6,NOT(_xlfn.IFNA(ISNUMBER(SEARCH("Rending",$L250)),FALSE))), (7-(Y$24-$I250))/6, AND(Y$24-$I250 &gt;=7,NOT(_xlfn.IFNA(ISNUMBER(SEARCH("Rending",$L250)),FALSE))), 0, Y$24-$I250 =7, (7-(Y$24-1-$I250))/6, Y$24-$I250 =8, (7-(Y$24-2-$I250))/6*2/3, Y$24-$I250 =9, (7-(Y$24-3-$I250))/6*1/3, TRUE, 0)) *
IF(ISNUMBER(SEARCH("Ordinance",$L250)),7/6,1) *
IF(OR(ISNUMBER(SEARCH("Melee",$L250)),ISNUMBER(SEARCH("Bypass",$L250))),1.5,1)</f>
        <v>5</v>
      </c>
      <c r="Z250" s="17" cm="1">
        <f t="array" ref="Z250">$H250 *
IF(ISNUMBER(SEARCH("Rapid",$L250)),7/6,1) *
IF(OR(ISNUMBER(SEARCH("Beam",$L250)),ISNUMBER(SEARCH("Firestorm",$L250))),1, IF(ISNUMBER(SEARCH("Blast",$L250)),(4+$F250+(2-$F250)*0.5)/6*2,(4+$F250)/6)) *
IF(ISNUMBER(SEARCH("Fusion",$L250)), _xlfn.IFS(Z$24-$I250 &lt;=1, 9/10, Z$24-$I250 &lt;=10,(11-(Z$24-$I250))/10, Z$24-$I250 &gt;=11, 0),
_xlfn.IFS(Z$24-$I250 &lt;=1, 5/6, Z$24-$I250 &lt;=5, (7-(Z$24-$I250))/6, AND(Z$24-$I250 =6,NOT(_xlfn.IFNA(ISNUMBER(SEARCH("Rending",$L250)),FALSE))), (7-(Z$24-$I250))/6, AND(Z$24-$I250 &gt;=7,NOT(_xlfn.IFNA(ISNUMBER(SEARCH("Rending",$L250)),FALSE))), 0, Z$24-$I250 =7, (7-(Z$24-1-$I250))/6, Z$24-$I250 =8, (7-(Z$24-2-$I250))/6*2/3, Z$24-$I250 =9, (7-(Z$24-3-$I250))/6*1/3, TRUE, 0)) *
IF(ISNUMBER(SEARCH("Ordinance",$L250)),7/6,1) *
IF(OR(ISNUMBER(SEARCH("Melee",$L250)),ISNUMBER(SEARCH("Bypass",$L250))),1.5,1)</f>
        <v>3.333333333333333</v>
      </c>
      <c r="AA250" s="17" cm="1">
        <f t="array" ref="AA250">$H250 *
IF(ISNUMBER(SEARCH("Rapid",$L250)),7/6,1) *
IF(OR(ISNUMBER(SEARCH("Beam",$L250)),ISNUMBER(SEARCH("Firestorm",$L250))),1, IF(ISNUMBER(SEARCH("Blast",$L250)),(4+$F250+(2-$F250)*0.5)/6*2,(4+$F250)/6)) *
IF(ISNUMBER(SEARCH("Fusion",$L250)), _xlfn.IFS(AA$24-$I250 &lt;=1, 9/10, AA$24-$I250 &lt;=10,(11-(AA$24-$I250))/10, AA$24-$I250 &gt;=11, 0),
_xlfn.IFS(AA$24-$I250 &lt;=1, 5/6, AA$24-$I250 &lt;=5, (7-(AA$24-$I250))/6, AND(AA$24-$I250 =6,NOT(_xlfn.IFNA(ISNUMBER(SEARCH("Rending",$L250)),FALSE))), (7-(AA$24-$I250))/6, AND(AA$24-$I250 &gt;=7,NOT(_xlfn.IFNA(ISNUMBER(SEARCH("Rending",$L250)),FALSE))), 0, AA$24-$I250 =7, (7-(AA$24-1-$I250))/6, AA$24-$I250 =8, (7-(AA$24-2-$I250))/6*2/3, AA$24-$I250 =9, (7-(AA$24-3-$I250))/6*1/3, TRUE, 0)) *
IF(ISNUMBER(SEARCH("Ordinance",$L250)),7/6,1) *
IF(OR(ISNUMBER(SEARCH("Melee",$L250)),ISNUMBER(SEARCH("Bypass",$L250))),1.5,1)</f>
        <v>1.6666666666666665</v>
      </c>
      <c r="AB250" s="17" cm="1">
        <f t="array" ref="AB250">$H250 *
IF(ISNUMBER(SEARCH("Rapid",$L250)),7/6,1) *
IF(OR(ISNUMBER(SEARCH("Beam",$L250)),ISNUMBER(SEARCH("Firestorm",$L250))),1, IF(ISNUMBER(SEARCH("Blast",$L250)),(4+$F250+(2-$F250)*0.5)/6*2,(4+$F250)/6)) *
IF(ISNUMBER(SEARCH("Fusion",$L250)), _xlfn.IFS(AB$24-$I250 &lt;=1, 9/10, AB$24-$I250 &lt;=10,(11-(AB$24-$I250))/10, AB$24-$I250 &gt;=11, 0),
_xlfn.IFS(AB$24-$I250 &lt;=1, 5/6, AB$24-$I250 &lt;=5, (7-(AB$24-$I250))/6, AND(AB$24-$I250 =6,NOT(_xlfn.IFNA(ISNUMBER(SEARCH("Rending",$L250)),FALSE))), (7-(AB$24-$I250))/6, AND(AB$24-$I250 &gt;=7,NOT(_xlfn.IFNA(ISNUMBER(SEARCH("Rending",$L250)),FALSE))), 0, AB$24-$I250 =7, (7-(AB$24-1-$I250))/6, AB$24-$I250 =8, (7-(AB$24-2-$I250))/6*2/3, AB$24-$I250 =9, (7-(AB$24-3-$I250))/6*1/3, TRUE, 0)) *
IF(ISNUMBER(SEARCH("Ordinance",$L250)),7/6,1) *
IF(OR(ISNUMBER(SEARCH("Melee",$L250)),ISNUMBER(SEARCH("Bypass",$L250))),1.5,1)</f>
        <v>0</v>
      </c>
      <c r="AC250" s="17" cm="1">
        <f t="array" ref="AC250">$H250 *
IF(ISNUMBER(SEARCH("Rapid",$L250)),7/6,1) *
IF(OR(ISNUMBER(SEARCH("Beam",$L250)),ISNUMBER(SEARCH("Firestorm",$L250))),1, IF(ISNUMBER(SEARCH("Blast",$L250)),(4+$F250+(2-$F250)*0.5)/6*2,(4+$F250)/6)) *
IF(ISNUMBER(SEARCH("Fusion",$L250)), _xlfn.IFS(AC$24-$I250 &lt;=1, 9/10, AC$24-$I250 &lt;=10,(11-(AC$24-$I250))/10, AC$24-$I250 &gt;=11, 0),
_xlfn.IFS(AC$24-$I250 &lt;=1, 5/6, AC$24-$I250 &lt;=5, (7-(AC$24-$I250))/6, AND(AC$24-$I250 =6,NOT(_xlfn.IFNA(ISNUMBER(SEARCH("Rending",$L250)),FALSE))), (7-(AC$24-$I250))/6, AND(AC$24-$I250 &gt;=7,NOT(_xlfn.IFNA(ISNUMBER(SEARCH("Rending",$L250)),FALSE))), 0, AC$24-$I250 =7, (7-(AC$24-1-$I250))/6, AC$24-$I250 =8, (7-(AC$24-2-$I250))/6*2/3, AC$24-$I250 =9, (7-(AC$24-3-$I250))/6*1/3, TRUE, 0)) *
IF(ISNUMBER(SEARCH("Ordinance",$L250)),7/6,1) *
IF(OR(ISNUMBER(SEARCH("Melee",$L250)),ISNUMBER(SEARCH("Bypass",$L250))),1.5,1)</f>
        <v>0</v>
      </c>
      <c r="AD250" s="17" cm="1">
        <f t="array" ref="AD250">$H250 *
IF(ISNUMBER(SEARCH("Rapid",$L250)),7/6,1) *
IF(OR(ISNUMBER(SEARCH("Beam",$L250)),ISNUMBER(SEARCH("Firestorm",$L250))),1, IF(ISNUMBER(SEARCH("Blast",$L250)),(4+$F250+(2-$F250)*0.5)/6*2,(4+$F250)/6)) *
IF(ISNUMBER(SEARCH("Fusion",$L250)), _xlfn.IFS(AD$24-$I250 &lt;=1, 9/10, AD$24-$I250 &lt;=10,(11-(AD$24-$I250))/10, AD$24-$I250 &gt;=11, 0),
_xlfn.IFS(AD$24-$I250 &lt;=1, 5/6, AD$24-$I250 &lt;=5, (7-(AD$24-$I250))/6, AND(AD$24-$I250 =6,NOT(_xlfn.IFNA(ISNUMBER(SEARCH("Rending",$L250)),FALSE))), (7-(AD$24-$I250))/6, AND(AD$24-$I250 &gt;=7,NOT(_xlfn.IFNA(ISNUMBER(SEARCH("Rending",$L250)),FALSE))), 0, AD$24-$I250 =7, (7-(AD$24-1-$I250))/6, AD$24-$I250 =8, (7-(AD$24-2-$I250))/6*2/3, AD$24-$I250 =9, (7-(AD$24-3-$I250))/6*1/3, TRUE, 0)) *
IF(ISNUMBER(SEARCH("Ordinance",$L250)),7/6,1) *
IF(OR(ISNUMBER(SEARCH("Melee",$L250)),ISNUMBER(SEARCH("Bypass",$L250))),1.5,1)</f>
        <v>0</v>
      </c>
      <c r="AE250" s="17" cm="1">
        <f t="array" ref="AE250">$H250 *
IF(ISNUMBER(SEARCH("Rapid",$L250)),7/6,1) *
IF(OR(ISNUMBER(SEARCH("Beam",$L250)),ISNUMBER(SEARCH("Firestorm",$L250))),1, IF(ISNUMBER(SEARCH("Blast",$L250)),(4+$F250+(2-$F250)*0.5)/6*2,(4+$F250)/6)) *
IF(ISNUMBER(SEARCH("Fusion",$L250)), _xlfn.IFS(AE$24-$I250 &lt;=1, 9/10, AE$24-$I250 &lt;=10,(11-(AE$24-$I250))/10, AE$24-$I250 &gt;=11, 0),
_xlfn.IFS(AE$24-$I250 &lt;=1, 5/6, AE$24-$I250 &lt;=5, (7-(AE$24-$I250))/6, AND(AE$24-$I250 =6,NOT(_xlfn.IFNA(ISNUMBER(SEARCH("Rending",$L250)),FALSE))), (7-(AE$24-$I250))/6, AND(AE$24-$I250 &gt;=7,NOT(_xlfn.IFNA(ISNUMBER(SEARCH("Rending",$L250)),FALSE))), 0, AE$24-$I250 =7, (7-(AE$24-1-$I250))/6, AE$24-$I250 =8, (7-(AE$24-2-$I250))/6*2/3, AE$24-$I250 =9, (7-(AE$24-3-$I250))/6*1/3, TRUE, 0)) *
IF(ISNUMBER(SEARCH("Ordinance",$L250)),7/6,1) *
IF(OR(ISNUMBER(SEARCH("Melee",$L250)),ISNUMBER(SEARCH("Bypass",$L250))),1.5,1)</f>
        <v>0</v>
      </c>
      <c r="AF250" s="17" cm="1">
        <f t="array" ref="AF250">$H250 *
IF(ISNUMBER(SEARCH("Rapid",$L250)),7/6,1) *
IF(OR(ISNUMBER(SEARCH("Beam",$L250)),ISNUMBER(SEARCH("Firestorm",$L250))),1, IF(ISNUMBER(SEARCH("Blast",$L250)),(4+$F250+(2-$F250)*0.5)/6*2,(4+$F250)/6)) *
IF(ISNUMBER(SEARCH("Fusion",$L250)), _xlfn.IFS(AF$24-$I250 &lt;=1, 9/10, AF$24-$I250 &lt;=10,(11-(AF$24-$I250))/10, AF$24-$I250 &gt;=11, 0),
_xlfn.IFS(AF$24-$I250 &lt;=1, 5/6, AF$24-$I250 &lt;=5, (7-(AF$24-$I250))/6, AND(AF$24-$I250 =6,NOT(_xlfn.IFNA(ISNUMBER(SEARCH("Rending",$L250)),FALSE))), (7-(AF$24-$I250))/6, AND(AF$24-$I250 &gt;=7,NOT(_xlfn.IFNA(ISNUMBER(SEARCH("Rending",$L250)),FALSE))), 0, AF$24-$I250 =7, (7-(AF$24-1-$I250))/6, AF$24-$I250 =8, (7-(AF$24-2-$I250))/6*2/3, AF$24-$I250 =9, (7-(AF$24-3-$I250))/6*1/3, TRUE, 0)) *
IF(ISNUMBER(SEARCH("Ordinance",$L250)),7/6,1) *
IF(OR(ISNUMBER(SEARCH("Melee",$L250)),ISNUMBER(SEARCH("Bypass",$L250))),1.5,1)</f>
        <v>0</v>
      </c>
      <c r="AG250" s="16">
        <f t="shared" si="67"/>
        <v>3.333333333333333</v>
      </c>
      <c r="AH250" s="16">
        <f t="shared" si="68"/>
        <v>5</v>
      </c>
      <c r="AI250" s="17" cm="1">
        <f t="array" ref="AI250">$H250 *
IF(ISNUMBER(SEARCH("Rapid",$L250)),7/6,1) *
IF(OR(ISNUMBER(SEARCH("Beam",$L250)),ISNUMBER(SEARCH("Firestorm",$L250))),1, IF(ISNUMBER(SEARCH("Blast",$L250)),(4+$G250+(2-$G250)*0.5)/6*2,(4+$G250)/6)) *
_xlfn.IFS(AI$24-$I250 &lt;=1, 5/6, AI$24-$I250 &lt;=5, (7-(AI$24-$I250))/6, AND(AI$24-$I250 =6,NOT(_xlfn.IFNA(ISNUMBER(SEARCH("Rending",$L250)),FALSE))), (7-(AI$24-$I250))/6, AND(AI$24-$I250 &gt;=7,NOT(_xlfn.IFNA(ISNUMBER(SEARCH("Rending",$L250)),FALSE))), 0, AI$24-$I250 =7, (7-(AI$24-1-$I250))/6, AI$24-$I250 =8, (7-(AI$24-2-$I250))/6*2/3, AI$24-$I250 =9, (7-(AI$24-3-$I250))/6*1/3, TRUE, 0) *
IF(ISNUMBER(SEARCH("Ordinance",$L250)),7/6,1) *
IF(OR(ISNUMBER(SEARCH("Melee",$L250)),ISNUMBER(SEARCH("Bypass",$L250))),1.5,1)</f>
        <v>6.6666666666666661</v>
      </c>
      <c r="AJ250" s="17" cm="1">
        <f t="array" ref="AJ250">$H250 *
IF(ISNUMBER(SEARCH("Rapid",$L250)),7/6,1) *
IF(OR(ISNUMBER(SEARCH("Beam",$L250)),ISNUMBER(SEARCH("Firestorm",$L250))),1, IF(ISNUMBER(SEARCH("Blast",$L250)),(4+$G250+(2-$G250)*0.5)/6*2,(4+$G250)/6)) *
_xlfn.IFS(AJ$24-$I250 &lt;=1, 5/6, AJ$24-$I250 &lt;=5, (7-(AJ$24-$I250))/6, AND(AJ$24-$I250 =6,NOT(_xlfn.IFNA(ISNUMBER(SEARCH("Rending",$L250)),FALSE))), (7-(AJ$24-$I250))/6, AND(AJ$24-$I250 &gt;=7,NOT(_xlfn.IFNA(ISNUMBER(SEARCH("Rending",$L250)),FALSE))), 0, AJ$24-$I250 =7, (7-(AJ$24-1-$I250))/6, AJ$24-$I250 =8, (7-(AJ$24-2-$I250))/6*2/3, AJ$24-$I250 =9, (7-(AJ$24-3-$I250))/6*1/3, TRUE, 0) *
IF(ISNUMBER(SEARCH("Ordinance",$L250)),7/6,1) *
IF(OR(ISNUMBER(SEARCH("Melee",$L250)),ISNUMBER(SEARCH("Bypass",$L250))),1.5,1)</f>
        <v>5</v>
      </c>
      <c r="AK250" s="17" cm="1">
        <f t="array" ref="AK250">$H250 *
IF(ISNUMBER(SEARCH("Rapid",$L250)),7/6,1) *
IF(OR(ISNUMBER(SEARCH("Beam",$L250)),ISNUMBER(SEARCH("Firestorm",$L250))),1, IF(ISNUMBER(SEARCH("Blast",$L250)),(4+$G250+(2-$G250)*0.5)/6*2,(4+$G250)/6)) *
_xlfn.IFS(AK$24-$I250 &lt;=1, 5/6, AK$24-$I250 &lt;=5, (7-(AK$24-$I250))/6, AND(AK$24-$I250 =6,NOT(_xlfn.IFNA(ISNUMBER(SEARCH("Rending",$L250)),FALSE))), (7-(AK$24-$I250))/6, AND(AK$24-$I250 &gt;=7,NOT(_xlfn.IFNA(ISNUMBER(SEARCH("Rending",$L250)),FALSE))), 0, AK$24-$I250 =7, (7-(AK$24-1-$I250))/6, AK$24-$I250 =8, (7-(AK$24-2-$I250))/6*2/3, AK$24-$I250 =9, (7-(AK$24-3-$I250))/6*1/3, TRUE, 0) *
IF(ISNUMBER(SEARCH("Ordinance",$L250)),7/6,1) *
IF(OR(ISNUMBER(SEARCH("Melee",$L250)),ISNUMBER(SEARCH("Bypass",$L250))),1.5,1)</f>
        <v>3.333333333333333</v>
      </c>
      <c r="AL250" s="17" cm="1">
        <f t="array" ref="AL250">$H250 *
IF(ISNUMBER(SEARCH("Rapid",$L250)),7/6,1) *
IF(OR(ISNUMBER(SEARCH("Beam",$L250)),ISNUMBER(SEARCH("Firestorm",$L250))),1, IF(ISNUMBER(SEARCH("Blast",$L250)),(4+$G250+(2-$G250)*0.5)/6*2,(4+$G250)/6)) *
_xlfn.IFS(AL$24-$I250 &lt;=1, 5/6, AL$24-$I250 &lt;=5, (7-(AL$24-$I250))/6, AND(AL$24-$I250 =6,NOT(_xlfn.IFNA(ISNUMBER(SEARCH("Rending",$L250)),FALSE))), (7-(AL$24-$I250))/6, AND(AL$24-$I250 &gt;=7,NOT(_xlfn.IFNA(ISNUMBER(SEARCH("Rending",$L250)),FALSE))), 0, AL$24-$I250 =7, (7-(AL$24-1-$I250))/6, AL$24-$I250 =8, (7-(AL$24-2-$I250))/6*2/3, AL$24-$I250 =9, (7-(AL$24-3-$I250))/6*1/3, TRUE, 0) *
IF(ISNUMBER(SEARCH("Ordinance",$L250)),7/6,1) *
IF(OR(ISNUMBER(SEARCH("Melee",$L250)),ISNUMBER(SEARCH("Bypass",$L250))),1.5,1)</f>
        <v>1.6666666666666665</v>
      </c>
      <c r="AM250" s="17" cm="1">
        <f t="array" ref="AM250">$H250 *
IF(ISNUMBER(SEARCH("Rapid",$L250)),7/6,1) *
IF(OR(ISNUMBER(SEARCH("Beam",$L250)),ISNUMBER(SEARCH("Firestorm",$L250))),1, IF(ISNUMBER(SEARCH("Blast",$L250)),(4+$G250+(2-$G250)*0.5)/6*2,(4+$G250)/6)) *
_xlfn.IFS(AM$24-$I250 &lt;=1, 5/6, AM$24-$I250 &lt;=5, (7-(AM$24-$I250))/6, AND(AM$24-$I250 =6,NOT(_xlfn.IFNA(ISNUMBER(SEARCH("Rending",$L250)),FALSE))), (7-(AM$24-$I250))/6, AND(AM$24-$I250 &gt;=7,NOT(_xlfn.IFNA(ISNUMBER(SEARCH("Rending",$L250)),FALSE))), 0, AM$24-$I250 =7, (7-(AM$24-1-$I250))/6, AM$24-$I250 =8, (7-(AM$24-2-$I250))/6*2/3, AM$24-$I250 =9, (7-(AM$24-3-$I250))/6*1/3, TRUE, 0) *
IF(ISNUMBER(SEARCH("Ordinance",$L250)),7/6,1) *
IF(OR(ISNUMBER(SEARCH("Melee",$L250)),ISNUMBER(SEARCH("Bypass",$L250))),1.5,1)</f>
        <v>0</v>
      </c>
      <c r="AN250" s="17" cm="1">
        <f t="array" ref="AN250">$H250 *
IF(ISNUMBER(SEARCH("Rapid",$L250)),7/6,1) *
IF(OR(ISNUMBER(SEARCH("Beam",$L250)),ISNUMBER(SEARCH("Firestorm",$L250))),1, IF(ISNUMBER(SEARCH("Blast",$L250)),(4+$G250+(2-$G250)*0.5)/6*2,(4+$G250)/6)) *
_xlfn.IFS(AN$24-$I250 &lt;=1, 5/6, AN$24-$I250 &lt;=5, (7-(AN$24-$I250))/6, AND(AN$24-$I250 =6,NOT(_xlfn.IFNA(ISNUMBER(SEARCH("Rending",$L250)),FALSE))), (7-(AN$24-$I250))/6, AND(AN$24-$I250 &gt;=7,NOT(_xlfn.IFNA(ISNUMBER(SEARCH("Rending",$L250)),FALSE))), 0, AN$24-$I250 =7, (7-(AN$24-1-$I250))/6, AN$24-$I250 =8, (7-(AN$24-2-$I250))/6*2/3, AN$24-$I250 =9, (7-(AN$24-3-$I250))/6*1/3, TRUE, 0) *
IF(ISNUMBER(SEARCH("Ordinance",$L250)),7/6,1) *
IF(OR(ISNUMBER(SEARCH("Melee",$L250)),ISNUMBER(SEARCH("Bypass",$L250))),1.5,1)</f>
        <v>0</v>
      </c>
      <c r="AO250" s="17" cm="1">
        <f t="array" ref="AO250">$H250 *
IF(ISNUMBER(SEARCH("Rapid",$L250)),7/6,1) *
IF(OR(ISNUMBER(SEARCH("Beam",$L250)),ISNUMBER(SEARCH("Firestorm",$L250))),1, IF(ISNUMBER(SEARCH("Blast",$L250)),(4+$G250+(2-$G250)*0.5)/6*2,(4+$G250)/6)) *
_xlfn.IFS(AO$24-$I250 &lt;=1, 5/6, AO$24-$I250 &lt;=5, (7-(AO$24-$I250))/6, AND(AO$24-$I250 =6,NOT(_xlfn.IFNA(ISNUMBER(SEARCH("Rending",$L250)),FALSE))), (7-(AO$24-$I250))/6, AND(AO$24-$I250 &gt;=7,NOT(_xlfn.IFNA(ISNUMBER(SEARCH("Rending",$L250)),FALSE))), 0, AO$24-$I250 =7, (7-(AO$24-1-$I250))/6, AO$24-$I250 =8, (7-(AO$24-2-$I250))/6*2/3, AO$24-$I250 =9, (7-(AO$24-3-$I250))/6*1/3, TRUE, 0) *
IF(ISNUMBER(SEARCH("Ordinance",$L250)),7/6,1) *
IF(OR(ISNUMBER(SEARCH("Melee",$L250)),ISNUMBER(SEARCH("Bypass",$L250))),1.5,1)</f>
        <v>0</v>
      </c>
      <c r="AP250" s="17" cm="1">
        <f t="array" ref="AP250">$H250 *
IF(ISNUMBER(SEARCH("Rapid",$L250)),7/6,1) *
IF(OR(ISNUMBER(SEARCH("Beam",$L250)),ISNUMBER(SEARCH("Firestorm",$L250))),1, IF(ISNUMBER(SEARCH("Blast",$L250)),(4+$G250+(2-$G250)*0.5)/6*2,(4+$G250)/6)) *
_xlfn.IFS(AP$24-$I250 &lt;=1, 5/6, AP$24-$I250 &lt;=5, (7-(AP$24-$I250))/6, AND(AP$24-$I250 =6,NOT(_xlfn.IFNA(ISNUMBER(SEARCH("Rending",$L250)),FALSE))), (7-(AP$24-$I250))/6, AND(AP$24-$I250 &gt;=7,NOT(_xlfn.IFNA(ISNUMBER(SEARCH("Rending",$L250)),FALSE))), 0, AP$24-$I250 =7, (7-(AP$24-1-$I250))/6, AP$24-$I250 =8, (7-(AP$24-2-$I250))/6*2/3, AP$24-$I250 =9, (7-(AP$24-3-$I250))/6*1/3, TRUE, 0) *
IF(ISNUMBER(SEARCH("Ordinance",$L250)),7/6,1) *
IF(OR(ISNUMBER(SEARCH("Melee",$L250)),ISNUMBER(SEARCH("Bypass",$L250))),1.5,1)</f>
        <v>0</v>
      </c>
      <c r="AQ250" s="17" cm="1">
        <f t="array" ref="AQ250">$H250 *
IF(ISNUMBER(SEARCH("Rapid",$L250)),7/6,1) *
IF(OR(ISNUMBER(SEARCH("Beam",$L250)),ISNUMBER(SEARCH("Firestorm",$L250))),1, IF(ISNUMBER(SEARCH("Blast",$L250)),(4+$G250+(2-$G250)*0.5)/6*2,(4+$G250)/6)) *
_xlfn.IFS(AQ$24-$I250 &lt;=1, 5/6, AQ$24-$I250 &lt;=5, (7-(AQ$24-$I250))/6, AND(AQ$24-$I250 =6,NOT(_xlfn.IFNA(ISNUMBER(SEARCH("Rending",$L250)),FALSE))), (7-(AQ$24-$I250))/6, AND(AQ$24-$I250 &gt;=7,NOT(_xlfn.IFNA(ISNUMBER(SEARCH("Rending",$L250)),FALSE))), 0, AQ$24-$I250 =7, (7-(AQ$24-1-$I250))/6, AQ$24-$I250 =8, (7-(AQ$24-2-$I250))/6*2/3, AQ$24-$I250 =9, (7-(AQ$24-3-$I250))/6*1/3, TRUE, 0) *
IF(ISNUMBER(SEARCH("Ordinance",$L250)),7/6,1) *
IF(OR(ISNUMBER(SEARCH("Melee",$L250)),ISNUMBER(SEARCH("Bypass",$L250))),1.5,1)</f>
        <v>0</v>
      </c>
      <c r="AS250" s="16">
        <f t="shared" ref="AS250" si="78">IF($E250=1,AG250*3,IF($E250=2,2*AG250,1.1*AG250))/3</f>
        <v>1.2222222222222221</v>
      </c>
      <c r="AT250" s="16">
        <f t="shared" ref="AT250" si="79">IF($E250=1,AH250*3,IF($E250=2,2*AH250,1.1*AH250))/3</f>
        <v>1.8333333333333333</v>
      </c>
      <c r="AU250" s="16">
        <f t="shared" ref="AU250" si="80">IF(D250+E250=3,
 IF(E250=3, 2.5*AI250,
  IF(E250=2, 1.8*AI250+0.7*X250,
   IF(E250=1, 0.95*AI250+1.55*X250,
    2.5*X250))),
 IF(D250+E250=2,
  IF(E250=2, 1.55*AI250,
   IF(E250 =1, 0.85*AI250+0.7*X250,
    1.55*X250)),
  IF(E250=1, 0.95*AI250,
   0.7*X250))
)/3</f>
        <v>1.5555555555555554</v>
      </c>
      <c r="AV250" s="2">
        <v>11</v>
      </c>
    </row>
    <row r="251" spans="1:48" x14ac:dyDescent="0.3">
      <c r="A251" t="s">
        <v>817</v>
      </c>
      <c r="B251" s="3">
        <v>8</v>
      </c>
      <c r="C251" s="3">
        <v>20</v>
      </c>
      <c r="F251" s="10"/>
      <c r="G251" s="10"/>
      <c r="H251" s="3">
        <v>2</v>
      </c>
      <c r="I251" s="3">
        <v>6</v>
      </c>
      <c r="J251" s="3" t="s">
        <v>821</v>
      </c>
      <c r="K251" s="3">
        <v>20</v>
      </c>
      <c r="L251" s="3" t="s">
        <v>829</v>
      </c>
      <c r="V251" s="16">
        <f t="shared" si="65"/>
        <v>1.1111111111111112</v>
      </c>
      <c r="W251" s="16">
        <f t="shared" si="66"/>
        <v>1.6666666666666667</v>
      </c>
      <c r="X251" s="17" cm="1">
        <f t="array" ref="X251">$H251 *
IF(ISNUMBER(SEARCH("Rapid",$L251)),7/6,1) *
IF(OR(ISNUMBER(SEARCH("Beam",$L251)),ISNUMBER(SEARCH("Firestorm",$L251))),1, IF(ISNUMBER(SEARCH("Blast",$L251)),(4+$F251+(2-$F251)*0.5)/6*2,(4+$F251)/6)) *
IF(ISNUMBER(SEARCH("Fusion",$L251)), _xlfn.IFS(X$24-$I251 &lt;=1, 9/10, X$24-$I251 &lt;=10,(11-(X$24-$I251))/10, X$24-$I251 &gt;=11, 0),
_xlfn.IFS(X$24-$I251 &lt;=1, 5/6, X$24-$I251 &lt;=5, (7-(X$24-$I251))/6, AND(X$24-$I251 =6,NOT(_xlfn.IFNA(ISNUMBER(SEARCH("Rending",$L251)),FALSE))), (7-(X$24-$I251))/6, AND(X$24-$I251 &gt;=7,NOT(_xlfn.IFNA(ISNUMBER(SEARCH("Rending",$L251)),FALSE))), 0, X$24-$I251 =7, (7-(X$24-1-$I251))/6, X$24-$I251 =8, (7-(X$24-2-$I251))/6*2/3, X$24-$I251 =9, (7-(X$24-3-$I251))/6*1/3, TRUE, 0)) *
IF(ISNUMBER(SEARCH("Ordinance",$L251)),7/6,1) *
IF(OR(ISNUMBER(SEARCH("Melee",$L251)),ISNUMBER(SEARCH("Bypass",$L251))),1.5,1)</f>
        <v>2.2222222222222223</v>
      </c>
      <c r="Y251" s="17" cm="1">
        <f t="array" ref="Y251">$H251 *
IF(ISNUMBER(SEARCH("Rapid",$L251)),7/6,1) *
IF(OR(ISNUMBER(SEARCH("Beam",$L251)),ISNUMBER(SEARCH("Firestorm",$L251))),1, IF(ISNUMBER(SEARCH("Blast",$L251)),(4+$F251+(2-$F251)*0.5)/6*2,(4+$F251)/6)) *
IF(ISNUMBER(SEARCH("Fusion",$L251)), _xlfn.IFS(Y$24-$I251 &lt;=1, 9/10, Y$24-$I251 &lt;=10,(11-(Y$24-$I251))/10, Y$24-$I251 &gt;=11, 0),
_xlfn.IFS(Y$24-$I251 &lt;=1, 5/6, Y$24-$I251 &lt;=5, (7-(Y$24-$I251))/6, AND(Y$24-$I251 =6,NOT(_xlfn.IFNA(ISNUMBER(SEARCH("Rending",$L251)),FALSE))), (7-(Y$24-$I251))/6, AND(Y$24-$I251 &gt;=7,NOT(_xlfn.IFNA(ISNUMBER(SEARCH("Rending",$L251)),FALSE))), 0, Y$24-$I251 =7, (7-(Y$24-1-$I251))/6, Y$24-$I251 =8, (7-(Y$24-2-$I251))/6*2/3, Y$24-$I251 =9, (7-(Y$24-3-$I251))/6*1/3, TRUE, 0)) *
IF(ISNUMBER(SEARCH("Ordinance",$L251)),7/6,1) *
IF(OR(ISNUMBER(SEARCH("Melee",$L251)),ISNUMBER(SEARCH("Bypass",$L251))),1.5,1)</f>
        <v>1.6666666666666667</v>
      </c>
      <c r="Z251" s="17" cm="1">
        <f t="array" ref="Z251">$H251 *
IF(ISNUMBER(SEARCH("Rapid",$L251)),7/6,1) *
IF(OR(ISNUMBER(SEARCH("Beam",$L251)),ISNUMBER(SEARCH("Firestorm",$L251))),1, IF(ISNUMBER(SEARCH("Blast",$L251)),(4+$F251+(2-$F251)*0.5)/6*2,(4+$F251)/6)) *
IF(ISNUMBER(SEARCH("Fusion",$L251)), _xlfn.IFS(Z$24-$I251 &lt;=1, 9/10, Z$24-$I251 &lt;=10,(11-(Z$24-$I251))/10, Z$24-$I251 &gt;=11, 0),
_xlfn.IFS(Z$24-$I251 &lt;=1, 5/6, Z$24-$I251 &lt;=5, (7-(Z$24-$I251))/6, AND(Z$24-$I251 =6,NOT(_xlfn.IFNA(ISNUMBER(SEARCH("Rending",$L251)),FALSE))), (7-(Z$24-$I251))/6, AND(Z$24-$I251 &gt;=7,NOT(_xlfn.IFNA(ISNUMBER(SEARCH("Rending",$L251)),FALSE))), 0, Z$24-$I251 =7, (7-(Z$24-1-$I251))/6, Z$24-$I251 =8, (7-(Z$24-2-$I251))/6*2/3, Z$24-$I251 =9, (7-(Z$24-3-$I251))/6*1/3, TRUE, 0)) *
IF(ISNUMBER(SEARCH("Ordinance",$L251)),7/6,1) *
IF(OR(ISNUMBER(SEARCH("Melee",$L251)),ISNUMBER(SEARCH("Bypass",$L251))),1.5,1)</f>
        <v>1.1111111111111112</v>
      </c>
      <c r="AA251" s="17" cm="1">
        <f t="array" ref="AA251">$H251 *
IF(ISNUMBER(SEARCH("Rapid",$L251)),7/6,1) *
IF(OR(ISNUMBER(SEARCH("Beam",$L251)),ISNUMBER(SEARCH("Firestorm",$L251))),1, IF(ISNUMBER(SEARCH("Blast",$L251)),(4+$F251+(2-$F251)*0.5)/6*2,(4+$F251)/6)) *
IF(ISNUMBER(SEARCH("Fusion",$L251)), _xlfn.IFS(AA$24-$I251 &lt;=1, 9/10, AA$24-$I251 &lt;=10,(11-(AA$24-$I251))/10, AA$24-$I251 &gt;=11, 0),
_xlfn.IFS(AA$24-$I251 &lt;=1, 5/6, AA$24-$I251 &lt;=5, (7-(AA$24-$I251))/6, AND(AA$24-$I251 =6,NOT(_xlfn.IFNA(ISNUMBER(SEARCH("Rending",$L251)),FALSE))), (7-(AA$24-$I251))/6, AND(AA$24-$I251 &gt;=7,NOT(_xlfn.IFNA(ISNUMBER(SEARCH("Rending",$L251)),FALSE))), 0, AA$24-$I251 =7, (7-(AA$24-1-$I251))/6, AA$24-$I251 =8, (7-(AA$24-2-$I251))/6*2/3, AA$24-$I251 =9, (7-(AA$24-3-$I251))/6*1/3, TRUE, 0)) *
IF(ISNUMBER(SEARCH("Ordinance",$L251)),7/6,1) *
IF(OR(ISNUMBER(SEARCH("Melee",$L251)),ISNUMBER(SEARCH("Bypass",$L251))),1.5,1)</f>
        <v>0.55555555555555558</v>
      </c>
      <c r="AB251" s="17" cm="1">
        <f t="array" ref="AB251">$H251 *
IF(ISNUMBER(SEARCH("Rapid",$L251)),7/6,1) *
IF(OR(ISNUMBER(SEARCH("Beam",$L251)),ISNUMBER(SEARCH("Firestorm",$L251))),1, IF(ISNUMBER(SEARCH("Blast",$L251)),(4+$F251+(2-$F251)*0.5)/6*2,(4+$F251)/6)) *
IF(ISNUMBER(SEARCH("Fusion",$L251)), _xlfn.IFS(AB$24-$I251 &lt;=1, 9/10, AB$24-$I251 &lt;=10,(11-(AB$24-$I251))/10, AB$24-$I251 &gt;=11, 0),
_xlfn.IFS(AB$24-$I251 &lt;=1, 5/6, AB$24-$I251 &lt;=5, (7-(AB$24-$I251))/6, AND(AB$24-$I251 =6,NOT(_xlfn.IFNA(ISNUMBER(SEARCH("Rending",$L251)),FALSE))), (7-(AB$24-$I251))/6, AND(AB$24-$I251 &gt;=7,NOT(_xlfn.IFNA(ISNUMBER(SEARCH("Rending",$L251)),FALSE))), 0, AB$24-$I251 =7, (7-(AB$24-1-$I251))/6, AB$24-$I251 =8, (7-(AB$24-2-$I251))/6*2/3, AB$24-$I251 =9, (7-(AB$24-3-$I251))/6*1/3, TRUE, 0)) *
IF(ISNUMBER(SEARCH("Ordinance",$L251)),7/6,1) *
IF(OR(ISNUMBER(SEARCH("Melee",$L251)),ISNUMBER(SEARCH("Bypass",$L251))),1.5,1)</f>
        <v>0</v>
      </c>
      <c r="AC251" s="17" cm="1">
        <f t="array" ref="AC251">$H251 *
IF(ISNUMBER(SEARCH("Rapid",$L251)),7/6,1) *
IF(OR(ISNUMBER(SEARCH("Beam",$L251)),ISNUMBER(SEARCH("Firestorm",$L251))),1, IF(ISNUMBER(SEARCH("Blast",$L251)),(4+$F251+(2-$F251)*0.5)/6*2,(4+$F251)/6)) *
IF(ISNUMBER(SEARCH("Fusion",$L251)), _xlfn.IFS(AC$24-$I251 &lt;=1, 9/10, AC$24-$I251 &lt;=10,(11-(AC$24-$I251))/10, AC$24-$I251 &gt;=11, 0),
_xlfn.IFS(AC$24-$I251 &lt;=1, 5/6, AC$24-$I251 &lt;=5, (7-(AC$24-$I251))/6, AND(AC$24-$I251 =6,NOT(_xlfn.IFNA(ISNUMBER(SEARCH("Rending",$L251)),FALSE))), (7-(AC$24-$I251))/6, AND(AC$24-$I251 &gt;=7,NOT(_xlfn.IFNA(ISNUMBER(SEARCH("Rending",$L251)),FALSE))), 0, AC$24-$I251 =7, (7-(AC$24-1-$I251))/6, AC$24-$I251 =8, (7-(AC$24-2-$I251))/6*2/3, AC$24-$I251 =9, (7-(AC$24-3-$I251))/6*1/3, TRUE, 0)) *
IF(ISNUMBER(SEARCH("Ordinance",$L251)),7/6,1) *
IF(OR(ISNUMBER(SEARCH("Melee",$L251)),ISNUMBER(SEARCH("Bypass",$L251))),1.5,1)</f>
        <v>0</v>
      </c>
      <c r="AD251" s="17" cm="1">
        <f t="array" ref="AD251">$H251 *
IF(ISNUMBER(SEARCH("Rapid",$L251)),7/6,1) *
IF(OR(ISNUMBER(SEARCH("Beam",$L251)),ISNUMBER(SEARCH("Firestorm",$L251))),1, IF(ISNUMBER(SEARCH("Blast",$L251)),(4+$F251+(2-$F251)*0.5)/6*2,(4+$F251)/6)) *
IF(ISNUMBER(SEARCH("Fusion",$L251)), _xlfn.IFS(AD$24-$I251 &lt;=1, 9/10, AD$24-$I251 &lt;=10,(11-(AD$24-$I251))/10, AD$24-$I251 &gt;=11, 0),
_xlfn.IFS(AD$24-$I251 &lt;=1, 5/6, AD$24-$I251 &lt;=5, (7-(AD$24-$I251))/6, AND(AD$24-$I251 =6,NOT(_xlfn.IFNA(ISNUMBER(SEARCH("Rending",$L251)),FALSE))), (7-(AD$24-$I251))/6, AND(AD$24-$I251 &gt;=7,NOT(_xlfn.IFNA(ISNUMBER(SEARCH("Rending",$L251)),FALSE))), 0, AD$24-$I251 =7, (7-(AD$24-1-$I251))/6, AD$24-$I251 =8, (7-(AD$24-2-$I251))/6*2/3, AD$24-$I251 =9, (7-(AD$24-3-$I251))/6*1/3, TRUE, 0)) *
IF(ISNUMBER(SEARCH("Ordinance",$L251)),7/6,1) *
IF(OR(ISNUMBER(SEARCH("Melee",$L251)),ISNUMBER(SEARCH("Bypass",$L251))),1.5,1)</f>
        <v>0</v>
      </c>
      <c r="AE251" s="17" cm="1">
        <f t="array" ref="AE251">$H251 *
IF(ISNUMBER(SEARCH("Rapid",$L251)),7/6,1) *
IF(OR(ISNUMBER(SEARCH("Beam",$L251)),ISNUMBER(SEARCH("Firestorm",$L251))),1, IF(ISNUMBER(SEARCH("Blast",$L251)),(4+$F251+(2-$F251)*0.5)/6*2,(4+$F251)/6)) *
IF(ISNUMBER(SEARCH("Fusion",$L251)), _xlfn.IFS(AE$24-$I251 &lt;=1, 9/10, AE$24-$I251 &lt;=10,(11-(AE$24-$I251))/10, AE$24-$I251 &gt;=11, 0),
_xlfn.IFS(AE$24-$I251 &lt;=1, 5/6, AE$24-$I251 &lt;=5, (7-(AE$24-$I251))/6, AND(AE$24-$I251 =6,NOT(_xlfn.IFNA(ISNUMBER(SEARCH("Rending",$L251)),FALSE))), (7-(AE$24-$I251))/6, AND(AE$24-$I251 &gt;=7,NOT(_xlfn.IFNA(ISNUMBER(SEARCH("Rending",$L251)),FALSE))), 0, AE$24-$I251 =7, (7-(AE$24-1-$I251))/6, AE$24-$I251 =8, (7-(AE$24-2-$I251))/6*2/3, AE$24-$I251 =9, (7-(AE$24-3-$I251))/6*1/3, TRUE, 0)) *
IF(ISNUMBER(SEARCH("Ordinance",$L251)),7/6,1) *
IF(OR(ISNUMBER(SEARCH("Melee",$L251)),ISNUMBER(SEARCH("Bypass",$L251))),1.5,1)</f>
        <v>0</v>
      </c>
      <c r="AF251" s="17" cm="1">
        <f t="array" ref="AF251">$H251 *
IF(ISNUMBER(SEARCH("Rapid",$L251)),7/6,1) *
IF(OR(ISNUMBER(SEARCH("Beam",$L251)),ISNUMBER(SEARCH("Firestorm",$L251))),1, IF(ISNUMBER(SEARCH("Blast",$L251)),(4+$F251+(2-$F251)*0.5)/6*2,(4+$F251)/6)) *
IF(ISNUMBER(SEARCH("Fusion",$L251)), _xlfn.IFS(AF$24-$I251 &lt;=1, 9/10, AF$24-$I251 &lt;=10,(11-(AF$24-$I251))/10, AF$24-$I251 &gt;=11, 0),
_xlfn.IFS(AF$24-$I251 &lt;=1, 5/6, AF$24-$I251 &lt;=5, (7-(AF$24-$I251))/6, AND(AF$24-$I251 =6,NOT(_xlfn.IFNA(ISNUMBER(SEARCH("Rending",$L251)),FALSE))), (7-(AF$24-$I251))/6, AND(AF$24-$I251 &gt;=7,NOT(_xlfn.IFNA(ISNUMBER(SEARCH("Rending",$L251)),FALSE))), 0, AF$24-$I251 =7, (7-(AF$24-1-$I251))/6, AF$24-$I251 =8, (7-(AF$24-2-$I251))/6*2/3, AF$24-$I251 =9, (7-(AF$24-3-$I251))/6*1/3, TRUE, 0)) *
IF(ISNUMBER(SEARCH("Ordinance",$L251)),7/6,1) *
IF(OR(ISNUMBER(SEARCH("Melee",$L251)),ISNUMBER(SEARCH("Bypass",$L251))),1.5,1)</f>
        <v>0</v>
      </c>
      <c r="AG251" s="16">
        <f t="shared" si="67"/>
        <v>1.1111111111111112</v>
      </c>
      <c r="AH251" s="16">
        <f t="shared" si="68"/>
        <v>1.6666666666666667</v>
      </c>
      <c r="AI251" s="17" cm="1">
        <f t="array" ref="AI251">$H251 *
IF(ISNUMBER(SEARCH("Rapid",$L251)),7/6,1) *
IF(OR(ISNUMBER(SEARCH("Beam",$L251)),ISNUMBER(SEARCH("Firestorm",$L251))),1, IF(ISNUMBER(SEARCH("Blast",$L251)),(4+$G251+(2-$G251)*0.5)/6*2,(4+$G251)/6)) *
_xlfn.IFS(AI$24-$I251 &lt;=1, 5/6, AI$24-$I251 &lt;=5, (7-(AI$24-$I251))/6, AND(AI$24-$I251 =6,NOT(_xlfn.IFNA(ISNUMBER(SEARCH("Rending",$L251)),FALSE))), (7-(AI$24-$I251))/6, AND(AI$24-$I251 &gt;=7,NOT(_xlfn.IFNA(ISNUMBER(SEARCH("Rending",$L251)),FALSE))), 0, AI$24-$I251 =7, (7-(AI$24-1-$I251))/6, AI$24-$I251 =8, (7-(AI$24-2-$I251))/6*2/3, AI$24-$I251 =9, (7-(AI$24-3-$I251))/6*1/3, TRUE, 0) *
IF(ISNUMBER(SEARCH("Ordinance",$L251)),7/6,1) *
IF(OR(ISNUMBER(SEARCH("Melee",$L251)),ISNUMBER(SEARCH("Bypass",$L251))),1.5,1)</f>
        <v>2.2222222222222223</v>
      </c>
      <c r="AJ251" s="17" cm="1">
        <f t="array" ref="AJ251">$H251 *
IF(ISNUMBER(SEARCH("Rapid",$L251)),7/6,1) *
IF(OR(ISNUMBER(SEARCH("Beam",$L251)),ISNUMBER(SEARCH("Firestorm",$L251))),1, IF(ISNUMBER(SEARCH("Blast",$L251)),(4+$G251+(2-$G251)*0.5)/6*2,(4+$G251)/6)) *
_xlfn.IFS(AJ$24-$I251 &lt;=1, 5/6, AJ$24-$I251 &lt;=5, (7-(AJ$24-$I251))/6, AND(AJ$24-$I251 =6,NOT(_xlfn.IFNA(ISNUMBER(SEARCH("Rending",$L251)),FALSE))), (7-(AJ$24-$I251))/6, AND(AJ$24-$I251 &gt;=7,NOT(_xlfn.IFNA(ISNUMBER(SEARCH("Rending",$L251)),FALSE))), 0, AJ$24-$I251 =7, (7-(AJ$24-1-$I251))/6, AJ$24-$I251 =8, (7-(AJ$24-2-$I251))/6*2/3, AJ$24-$I251 =9, (7-(AJ$24-3-$I251))/6*1/3, TRUE, 0) *
IF(ISNUMBER(SEARCH("Ordinance",$L251)),7/6,1) *
IF(OR(ISNUMBER(SEARCH("Melee",$L251)),ISNUMBER(SEARCH("Bypass",$L251))),1.5,1)</f>
        <v>1.6666666666666667</v>
      </c>
      <c r="AK251" s="17" cm="1">
        <f t="array" ref="AK251">$H251 *
IF(ISNUMBER(SEARCH("Rapid",$L251)),7/6,1) *
IF(OR(ISNUMBER(SEARCH("Beam",$L251)),ISNUMBER(SEARCH("Firestorm",$L251))),1, IF(ISNUMBER(SEARCH("Blast",$L251)),(4+$G251+(2-$G251)*0.5)/6*2,(4+$G251)/6)) *
_xlfn.IFS(AK$24-$I251 &lt;=1, 5/6, AK$24-$I251 &lt;=5, (7-(AK$24-$I251))/6, AND(AK$24-$I251 =6,NOT(_xlfn.IFNA(ISNUMBER(SEARCH("Rending",$L251)),FALSE))), (7-(AK$24-$I251))/6, AND(AK$24-$I251 &gt;=7,NOT(_xlfn.IFNA(ISNUMBER(SEARCH("Rending",$L251)),FALSE))), 0, AK$24-$I251 =7, (7-(AK$24-1-$I251))/6, AK$24-$I251 =8, (7-(AK$24-2-$I251))/6*2/3, AK$24-$I251 =9, (7-(AK$24-3-$I251))/6*1/3, TRUE, 0) *
IF(ISNUMBER(SEARCH("Ordinance",$L251)),7/6,1) *
IF(OR(ISNUMBER(SEARCH("Melee",$L251)),ISNUMBER(SEARCH("Bypass",$L251))),1.5,1)</f>
        <v>1.1111111111111112</v>
      </c>
      <c r="AL251" s="17" cm="1">
        <f t="array" ref="AL251">$H251 *
IF(ISNUMBER(SEARCH("Rapid",$L251)),7/6,1) *
IF(OR(ISNUMBER(SEARCH("Beam",$L251)),ISNUMBER(SEARCH("Firestorm",$L251))),1, IF(ISNUMBER(SEARCH("Blast",$L251)),(4+$G251+(2-$G251)*0.5)/6*2,(4+$G251)/6)) *
_xlfn.IFS(AL$24-$I251 &lt;=1, 5/6, AL$24-$I251 &lt;=5, (7-(AL$24-$I251))/6, AND(AL$24-$I251 =6,NOT(_xlfn.IFNA(ISNUMBER(SEARCH("Rending",$L251)),FALSE))), (7-(AL$24-$I251))/6, AND(AL$24-$I251 &gt;=7,NOT(_xlfn.IFNA(ISNUMBER(SEARCH("Rending",$L251)),FALSE))), 0, AL$24-$I251 =7, (7-(AL$24-1-$I251))/6, AL$24-$I251 =8, (7-(AL$24-2-$I251))/6*2/3, AL$24-$I251 =9, (7-(AL$24-3-$I251))/6*1/3, TRUE, 0) *
IF(ISNUMBER(SEARCH("Ordinance",$L251)),7/6,1) *
IF(OR(ISNUMBER(SEARCH("Melee",$L251)),ISNUMBER(SEARCH("Bypass",$L251))),1.5,1)</f>
        <v>0.55555555555555558</v>
      </c>
      <c r="AM251" s="17" cm="1">
        <f t="array" ref="AM251">$H251 *
IF(ISNUMBER(SEARCH("Rapid",$L251)),7/6,1) *
IF(OR(ISNUMBER(SEARCH("Beam",$L251)),ISNUMBER(SEARCH("Firestorm",$L251))),1, IF(ISNUMBER(SEARCH("Blast",$L251)),(4+$G251+(2-$G251)*0.5)/6*2,(4+$G251)/6)) *
_xlfn.IFS(AM$24-$I251 &lt;=1, 5/6, AM$24-$I251 &lt;=5, (7-(AM$24-$I251))/6, AND(AM$24-$I251 =6,NOT(_xlfn.IFNA(ISNUMBER(SEARCH("Rending",$L251)),FALSE))), (7-(AM$24-$I251))/6, AND(AM$24-$I251 &gt;=7,NOT(_xlfn.IFNA(ISNUMBER(SEARCH("Rending",$L251)),FALSE))), 0, AM$24-$I251 =7, (7-(AM$24-1-$I251))/6, AM$24-$I251 =8, (7-(AM$24-2-$I251))/6*2/3, AM$24-$I251 =9, (7-(AM$24-3-$I251))/6*1/3, TRUE, 0) *
IF(ISNUMBER(SEARCH("Ordinance",$L251)),7/6,1) *
IF(OR(ISNUMBER(SEARCH("Melee",$L251)),ISNUMBER(SEARCH("Bypass",$L251))),1.5,1)</f>
        <v>0</v>
      </c>
      <c r="AN251" s="17" cm="1">
        <f t="array" ref="AN251">$H251 *
IF(ISNUMBER(SEARCH("Rapid",$L251)),7/6,1) *
IF(OR(ISNUMBER(SEARCH("Beam",$L251)),ISNUMBER(SEARCH("Firestorm",$L251))),1, IF(ISNUMBER(SEARCH("Blast",$L251)),(4+$G251+(2-$G251)*0.5)/6*2,(4+$G251)/6)) *
_xlfn.IFS(AN$24-$I251 &lt;=1, 5/6, AN$24-$I251 &lt;=5, (7-(AN$24-$I251))/6, AND(AN$24-$I251 =6,NOT(_xlfn.IFNA(ISNUMBER(SEARCH("Rending",$L251)),FALSE))), (7-(AN$24-$I251))/6, AND(AN$24-$I251 &gt;=7,NOT(_xlfn.IFNA(ISNUMBER(SEARCH("Rending",$L251)),FALSE))), 0, AN$24-$I251 =7, (7-(AN$24-1-$I251))/6, AN$24-$I251 =8, (7-(AN$24-2-$I251))/6*2/3, AN$24-$I251 =9, (7-(AN$24-3-$I251))/6*1/3, TRUE, 0) *
IF(ISNUMBER(SEARCH("Ordinance",$L251)),7/6,1) *
IF(OR(ISNUMBER(SEARCH("Melee",$L251)),ISNUMBER(SEARCH("Bypass",$L251))),1.5,1)</f>
        <v>0</v>
      </c>
      <c r="AO251" s="17" cm="1">
        <f t="array" ref="AO251">$H251 *
IF(ISNUMBER(SEARCH("Rapid",$L251)),7/6,1) *
IF(OR(ISNUMBER(SEARCH("Beam",$L251)),ISNUMBER(SEARCH("Firestorm",$L251))),1, IF(ISNUMBER(SEARCH("Blast",$L251)),(4+$G251+(2-$G251)*0.5)/6*2,(4+$G251)/6)) *
_xlfn.IFS(AO$24-$I251 &lt;=1, 5/6, AO$24-$I251 &lt;=5, (7-(AO$24-$I251))/6, AND(AO$24-$I251 =6,NOT(_xlfn.IFNA(ISNUMBER(SEARCH("Rending",$L251)),FALSE))), (7-(AO$24-$I251))/6, AND(AO$24-$I251 &gt;=7,NOT(_xlfn.IFNA(ISNUMBER(SEARCH("Rending",$L251)),FALSE))), 0, AO$24-$I251 =7, (7-(AO$24-1-$I251))/6, AO$24-$I251 =8, (7-(AO$24-2-$I251))/6*2/3, AO$24-$I251 =9, (7-(AO$24-3-$I251))/6*1/3, TRUE, 0) *
IF(ISNUMBER(SEARCH("Ordinance",$L251)),7/6,1) *
IF(OR(ISNUMBER(SEARCH("Melee",$L251)),ISNUMBER(SEARCH("Bypass",$L251))),1.5,1)</f>
        <v>0</v>
      </c>
      <c r="AP251" s="17" cm="1">
        <f t="array" ref="AP251">$H251 *
IF(ISNUMBER(SEARCH("Rapid",$L251)),7/6,1) *
IF(OR(ISNUMBER(SEARCH("Beam",$L251)),ISNUMBER(SEARCH("Firestorm",$L251))),1, IF(ISNUMBER(SEARCH("Blast",$L251)),(4+$G251+(2-$G251)*0.5)/6*2,(4+$G251)/6)) *
_xlfn.IFS(AP$24-$I251 &lt;=1, 5/6, AP$24-$I251 &lt;=5, (7-(AP$24-$I251))/6, AND(AP$24-$I251 =6,NOT(_xlfn.IFNA(ISNUMBER(SEARCH("Rending",$L251)),FALSE))), (7-(AP$24-$I251))/6, AND(AP$24-$I251 &gt;=7,NOT(_xlfn.IFNA(ISNUMBER(SEARCH("Rending",$L251)),FALSE))), 0, AP$24-$I251 =7, (7-(AP$24-1-$I251))/6, AP$24-$I251 =8, (7-(AP$24-2-$I251))/6*2/3, AP$24-$I251 =9, (7-(AP$24-3-$I251))/6*1/3, TRUE, 0) *
IF(ISNUMBER(SEARCH("Ordinance",$L251)),7/6,1) *
IF(OR(ISNUMBER(SEARCH("Melee",$L251)),ISNUMBER(SEARCH("Bypass",$L251))),1.5,1)</f>
        <v>0</v>
      </c>
      <c r="AQ251" s="17" cm="1">
        <f t="array" ref="AQ251">$H251 *
IF(ISNUMBER(SEARCH("Rapid",$L251)),7/6,1) *
IF(OR(ISNUMBER(SEARCH("Beam",$L251)),ISNUMBER(SEARCH("Firestorm",$L251))),1, IF(ISNUMBER(SEARCH("Blast",$L251)),(4+$G251+(2-$G251)*0.5)/6*2,(4+$G251)/6)) *
_xlfn.IFS(AQ$24-$I251 &lt;=1, 5/6, AQ$24-$I251 &lt;=5, (7-(AQ$24-$I251))/6, AND(AQ$24-$I251 =6,NOT(_xlfn.IFNA(ISNUMBER(SEARCH("Rending",$L251)),FALSE))), (7-(AQ$24-$I251))/6, AND(AQ$24-$I251 &gt;=7,NOT(_xlfn.IFNA(ISNUMBER(SEARCH("Rending",$L251)),FALSE))), 0, AQ$24-$I251 =7, (7-(AQ$24-1-$I251))/6, AQ$24-$I251 =8, (7-(AQ$24-2-$I251))/6*2/3, AQ$24-$I251 =9, (7-(AQ$24-3-$I251))/6*1/3, TRUE, 0) *
IF(ISNUMBER(SEARCH("Ordinance",$L251)),7/6,1) *
IF(OR(ISNUMBER(SEARCH("Melee",$L251)),ISNUMBER(SEARCH("Bypass",$L251))),1.5,1)</f>
        <v>0</v>
      </c>
      <c r="AS251" s="16">
        <f t="shared" si="72"/>
        <v>0.40740740740740744</v>
      </c>
      <c r="AT251" s="16">
        <f t="shared" si="73"/>
        <v>0.61111111111111116</v>
      </c>
      <c r="AU251" s="16">
        <f t="shared" si="74"/>
        <v>0.51851851851851849</v>
      </c>
      <c r="AV251" s="2">
        <v>11</v>
      </c>
    </row>
    <row r="252" spans="1:48" x14ac:dyDescent="0.3">
      <c r="F252" s="10"/>
      <c r="G252" s="10"/>
      <c r="V252" s="16">
        <f t="shared" si="65"/>
        <v>0</v>
      </c>
      <c r="W252" s="16">
        <f t="shared" si="66"/>
        <v>0</v>
      </c>
      <c r="X252" s="17" cm="1">
        <f t="array" ref="X252">$H252 *
IF(ISNUMBER(SEARCH("Rapid",$L252)),7/6,1) *
IF(OR(ISNUMBER(SEARCH("Beam",$L252)),ISNUMBER(SEARCH("Firestorm",$L252))),1, IF(ISNUMBER(SEARCH("Blast",$L252)),(4+$F252+(2-$F252)*0.5)/6*2,(4+$F252)/6)) *
IF(ISNUMBER(SEARCH("Fusion",$L252)), _xlfn.IFS(X$24-$I252 &lt;=1, 9/10, X$24-$I252 &lt;=10,(11-(X$24-$I252))/10, X$24-$I252 &gt;=11, 0),
_xlfn.IFS(X$24-$I252 &lt;=1, 5/6, X$24-$I252 &lt;=5, (7-(X$24-$I252))/6, AND(X$24-$I252 =6,NOT(_xlfn.IFNA(ISNUMBER(SEARCH("Rending",$L252)),FALSE))), (7-(X$24-$I252))/6, AND(X$24-$I252 &gt;=7,NOT(_xlfn.IFNA(ISNUMBER(SEARCH("Rending",$L252)),FALSE))), 0, X$24-$I252 =7, (7-(X$24-1-$I252))/6, X$24-$I252 =8, (7-(X$24-2-$I252))/6*2/3, X$24-$I252 =9, (7-(X$24-3-$I252))/6*1/3, TRUE, 0)) *
IF(ISNUMBER(SEARCH("Ordinance",$L252)),7/6,1) *
IF(OR(ISNUMBER(SEARCH("Melee",$L252)),ISNUMBER(SEARCH("Bypass",$L252))),1.5,1)</f>
        <v>0</v>
      </c>
      <c r="Y252" s="17" cm="1">
        <f t="array" ref="Y252">$H252 *
IF(ISNUMBER(SEARCH("Rapid",$L252)),7/6,1) *
IF(OR(ISNUMBER(SEARCH("Beam",$L252)),ISNUMBER(SEARCH("Firestorm",$L252))),1, IF(ISNUMBER(SEARCH("Blast",$L252)),(4+$F252+(2-$F252)*0.5)/6*2,(4+$F252)/6)) *
IF(ISNUMBER(SEARCH("Fusion",$L252)), _xlfn.IFS(Y$24-$I252 &lt;=1, 9/10, Y$24-$I252 &lt;=10,(11-(Y$24-$I252))/10, Y$24-$I252 &gt;=11, 0),
_xlfn.IFS(Y$24-$I252 &lt;=1, 5/6, Y$24-$I252 &lt;=5, (7-(Y$24-$I252))/6, AND(Y$24-$I252 =6,NOT(_xlfn.IFNA(ISNUMBER(SEARCH("Rending",$L252)),FALSE))), (7-(Y$24-$I252))/6, AND(Y$24-$I252 &gt;=7,NOT(_xlfn.IFNA(ISNUMBER(SEARCH("Rending",$L252)),FALSE))), 0, Y$24-$I252 =7, (7-(Y$24-1-$I252))/6, Y$24-$I252 =8, (7-(Y$24-2-$I252))/6*2/3, Y$24-$I252 =9, (7-(Y$24-3-$I252))/6*1/3, TRUE, 0)) *
IF(ISNUMBER(SEARCH("Ordinance",$L252)),7/6,1) *
IF(OR(ISNUMBER(SEARCH("Melee",$L252)),ISNUMBER(SEARCH("Bypass",$L252))),1.5,1)</f>
        <v>0</v>
      </c>
      <c r="Z252" s="17" cm="1">
        <f t="array" ref="Z252">$H252 *
IF(ISNUMBER(SEARCH("Rapid",$L252)),7/6,1) *
IF(OR(ISNUMBER(SEARCH("Beam",$L252)),ISNUMBER(SEARCH("Firestorm",$L252))),1, IF(ISNUMBER(SEARCH("Blast",$L252)),(4+$F252+(2-$F252)*0.5)/6*2,(4+$F252)/6)) *
IF(ISNUMBER(SEARCH("Fusion",$L252)), _xlfn.IFS(Z$24-$I252 &lt;=1, 9/10, Z$24-$I252 &lt;=10,(11-(Z$24-$I252))/10, Z$24-$I252 &gt;=11, 0),
_xlfn.IFS(Z$24-$I252 &lt;=1, 5/6, Z$24-$I252 &lt;=5, (7-(Z$24-$I252))/6, AND(Z$24-$I252 =6,NOT(_xlfn.IFNA(ISNUMBER(SEARCH("Rending",$L252)),FALSE))), (7-(Z$24-$I252))/6, AND(Z$24-$I252 &gt;=7,NOT(_xlfn.IFNA(ISNUMBER(SEARCH("Rending",$L252)),FALSE))), 0, Z$24-$I252 =7, (7-(Z$24-1-$I252))/6, Z$24-$I252 =8, (7-(Z$24-2-$I252))/6*2/3, Z$24-$I252 =9, (7-(Z$24-3-$I252))/6*1/3, TRUE, 0)) *
IF(ISNUMBER(SEARCH("Ordinance",$L252)),7/6,1) *
IF(OR(ISNUMBER(SEARCH("Melee",$L252)),ISNUMBER(SEARCH("Bypass",$L252))),1.5,1)</f>
        <v>0</v>
      </c>
      <c r="AA252" s="17" cm="1">
        <f t="array" ref="AA252">$H252 *
IF(ISNUMBER(SEARCH("Rapid",$L252)),7/6,1) *
IF(OR(ISNUMBER(SEARCH("Beam",$L252)),ISNUMBER(SEARCH("Firestorm",$L252))),1, IF(ISNUMBER(SEARCH("Blast",$L252)),(4+$F252+(2-$F252)*0.5)/6*2,(4+$F252)/6)) *
IF(ISNUMBER(SEARCH("Fusion",$L252)), _xlfn.IFS(AA$24-$I252 &lt;=1, 9/10, AA$24-$I252 &lt;=10,(11-(AA$24-$I252))/10, AA$24-$I252 &gt;=11, 0),
_xlfn.IFS(AA$24-$I252 &lt;=1, 5/6, AA$24-$I252 &lt;=5, (7-(AA$24-$I252))/6, AND(AA$24-$I252 =6,NOT(_xlfn.IFNA(ISNUMBER(SEARCH("Rending",$L252)),FALSE))), (7-(AA$24-$I252))/6, AND(AA$24-$I252 &gt;=7,NOT(_xlfn.IFNA(ISNUMBER(SEARCH("Rending",$L252)),FALSE))), 0, AA$24-$I252 =7, (7-(AA$24-1-$I252))/6, AA$24-$I252 =8, (7-(AA$24-2-$I252))/6*2/3, AA$24-$I252 =9, (7-(AA$24-3-$I252))/6*1/3, TRUE, 0)) *
IF(ISNUMBER(SEARCH("Ordinance",$L252)),7/6,1) *
IF(OR(ISNUMBER(SEARCH("Melee",$L252)),ISNUMBER(SEARCH("Bypass",$L252))),1.5,1)</f>
        <v>0</v>
      </c>
      <c r="AB252" s="17" cm="1">
        <f t="array" ref="AB252">$H252 *
IF(ISNUMBER(SEARCH("Rapid",$L252)),7/6,1) *
IF(OR(ISNUMBER(SEARCH("Beam",$L252)),ISNUMBER(SEARCH("Firestorm",$L252))),1, IF(ISNUMBER(SEARCH("Blast",$L252)),(4+$F252+(2-$F252)*0.5)/6*2,(4+$F252)/6)) *
IF(ISNUMBER(SEARCH("Fusion",$L252)), _xlfn.IFS(AB$24-$I252 &lt;=1, 9/10, AB$24-$I252 &lt;=10,(11-(AB$24-$I252))/10, AB$24-$I252 &gt;=11, 0),
_xlfn.IFS(AB$24-$I252 &lt;=1, 5/6, AB$24-$I252 &lt;=5, (7-(AB$24-$I252))/6, AND(AB$24-$I252 =6,NOT(_xlfn.IFNA(ISNUMBER(SEARCH("Rending",$L252)),FALSE))), (7-(AB$24-$I252))/6, AND(AB$24-$I252 &gt;=7,NOT(_xlfn.IFNA(ISNUMBER(SEARCH("Rending",$L252)),FALSE))), 0, AB$24-$I252 =7, (7-(AB$24-1-$I252))/6, AB$24-$I252 =8, (7-(AB$24-2-$I252))/6*2/3, AB$24-$I252 =9, (7-(AB$24-3-$I252))/6*1/3, TRUE, 0)) *
IF(ISNUMBER(SEARCH("Ordinance",$L252)),7/6,1) *
IF(OR(ISNUMBER(SEARCH("Melee",$L252)),ISNUMBER(SEARCH("Bypass",$L252))),1.5,1)</f>
        <v>0</v>
      </c>
      <c r="AC252" s="17" cm="1">
        <f t="array" ref="AC252">$H252 *
IF(ISNUMBER(SEARCH("Rapid",$L252)),7/6,1) *
IF(OR(ISNUMBER(SEARCH("Beam",$L252)),ISNUMBER(SEARCH("Firestorm",$L252))),1, IF(ISNUMBER(SEARCH("Blast",$L252)),(4+$F252+(2-$F252)*0.5)/6*2,(4+$F252)/6)) *
IF(ISNUMBER(SEARCH("Fusion",$L252)), _xlfn.IFS(AC$24-$I252 &lt;=1, 9/10, AC$24-$I252 &lt;=10,(11-(AC$24-$I252))/10, AC$24-$I252 &gt;=11, 0),
_xlfn.IFS(AC$24-$I252 &lt;=1, 5/6, AC$24-$I252 &lt;=5, (7-(AC$24-$I252))/6, AND(AC$24-$I252 =6,NOT(_xlfn.IFNA(ISNUMBER(SEARCH("Rending",$L252)),FALSE))), (7-(AC$24-$I252))/6, AND(AC$24-$I252 &gt;=7,NOT(_xlfn.IFNA(ISNUMBER(SEARCH("Rending",$L252)),FALSE))), 0, AC$24-$I252 =7, (7-(AC$24-1-$I252))/6, AC$24-$I252 =8, (7-(AC$24-2-$I252))/6*2/3, AC$24-$I252 =9, (7-(AC$24-3-$I252))/6*1/3, TRUE, 0)) *
IF(ISNUMBER(SEARCH("Ordinance",$L252)),7/6,1) *
IF(OR(ISNUMBER(SEARCH("Melee",$L252)),ISNUMBER(SEARCH("Bypass",$L252))),1.5,1)</f>
        <v>0</v>
      </c>
      <c r="AD252" s="17" cm="1">
        <f t="array" ref="AD252">$H252 *
IF(ISNUMBER(SEARCH("Rapid",$L252)),7/6,1) *
IF(OR(ISNUMBER(SEARCH("Beam",$L252)),ISNUMBER(SEARCH("Firestorm",$L252))),1, IF(ISNUMBER(SEARCH("Blast",$L252)),(4+$F252+(2-$F252)*0.5)/6*2,(4+$F252)/6)) *
IF(ISNUMBER(SEARCH("Fusion",$L252)), _xlfn.IFS(AD$24-$I252 &lt;=1, 9/10, AD$24-$I252 &lt;=10,(11-(AD$24-$I252))/10, AD$24-$I252 &gt;=11, 0),
_xlfn.IFS(AD$24-$I252 &lt;=1, 5/6, AD$24-$I252 &lt;=5, (7-(AD$24-$I252))/6, AND(AD$24-$I252 =6,NOT(_xlfn.IFNA(ISNUMBER(SEARCH("Rending",$L252)),FALSE))), (7-(AD$24-$I252))/6, AND(AD$24-$I252 &gt;=7,NOT(_xlfn.IFNA(ISNUMBER(SEARCH("Rending",$L252)),FALSE))), 0, AD$24-$I252 =7, (7-(AD$24-1-$I252))/6, AD$24-$I252 =8, (7-(AD$24-2-$I252))/6*2/3, AD$24-$I252 =9, (7-(AD$24-3-$I252))/6*1/3, TRUE, 0)) *
IF(ISNUMBER(SEARCH("Ordinance",$L252)),7/6,1) *
IF(OR(ISNUMBER(SEARCH("Melee",$L252)),ISNUMBER(SEARCH("Bypass",$L252))),1.5,1)</f>
        <v>0</v>
      </c>
      <c r="AE252" s="17" cm="1">
        <f t="array" ref="AE252">$H252 *
IF(ISNUMBER(SEARCH("Rapid",$L252)),7/6,1) *
IF(OR(ISNUMBER(SEARCH("Beam",$L252)),ISNUMBER(SEARCH("Firestorm",$L252))),1, IF(ISNUMBER(SEARCH("Blast",$L252)),(4+$F252+(2-$F252)*0.5)/6*2,(4+$F252)/6)) *
IF(ISNUMBER(SEARCH("Fusion",$L252)), _xlfn.IFS(AE$24-$I252 &lt;=1, 9/10, AE$24-$I252 &lt;=10,(11-(AE$24-$I252))/10, AE$24-$I252 &gt;=11, 0),
_xlfn.IFS(AE$24-$I252 &lt;=1, 5/6, AE$24-$I252 &lt;=5, (7-(AE$24-$I252))/6, AND(AE$24-$I252 =6,NOT(_xlfn.IFNA(ISNUMBER(SEARCH("Rending",$L252)),FALSE))), (7-(AE$24-$I252))/6, AND(AE$24-$I252 &gt;=7,NOT(_xlfn.IFNA(ISNUMBER(SEARCH("Rending",$L252)),FALSE))), 0, AE$24-$I252 =7, (7-(AE$24-1-$I252))/6, AE$24-$I252 =8, (7-(AE$24-2-$I252))/6*2/3, AE$24-$I252 =9, (7-(AE$24-3-$I252))/6*1/3, TRUE, 0)) *
IF(ISNUMBER(SEARCH("Ordinance",$L252)),7/6,1) *
IF(OR(ISNUMBER(SEARCH("Melee",$L252)),ISNUMBER(SEARCH("Bypass",$L252))),1.5,1)</f>
        <v>0</v>
      </c>
      <c r="AF252" s="17" cm="1">
        <f t="array" ref="AF252">$H252 *
IF(ISNUMBER(SEARCH("Rapid",$L252)),7/6,1) *
IF(OR(ISNUMBER(SEARCH("Beam",$L252)),ISNUMBER(SEARCH("Firestorm",$L252))),1, IF(ISNUMBER(SEARCH("Blast",$L252)),(4+$F252+(2-$F252)*0.5)/6*2,(4+$F252)/6)) *
IF(ISNUMBER(SEARCH("Fusion",$L252)), _xlfn.IFS(AF$24-$I252 &lt;=1, 9/10, AF$24-$I252 &lt;=10,(11-(AF$24-$I252))/10, AF$24-$I252 &gt;=11, 0),
_xlfn.IFS(AF$24-$I252 &lt;=1, 5/6, AF$24-$I252 &lt;=5, (7-(AF$24-$I252))/6, AND(AF$24-$I252 =6,NOT(_xlfn.IFNA(ISNUMBER(SEARCH("Rending",$L252)),FALSE))), (7-(AF$24-$I252))/6, AND(AF$24-$I252 &gt;=7,NOT(_xlfn.IFNA(ISNUMBER(SEARCH("Rending",$L252)),FALSE))), 0, AF$24-$I252 =7, (7-(AF$24-1-$I252))/6, AF$24-$I252 =8, (7-(AF$24-2-$I252))/6*2/3, AF$24-$I252 =9, (7-(AF$24-3-$I252))/6*1/3, TRUE, 0)) *
IF(ISNUMBER(SEARCH("Ordinance",$L252)),7/6,1) *
IF(OR(ISNUMBER(SEARCH("Melee",$L252)),ISNUMBER(SEARCH("Bypass",$L252))),1.5,1)</f>
        <v>0</v>
      </c>
      <c r="AG252" s="16">
        <f t="shared" si="67"/>
        <v>0</v>
      </c>
      <c r="AH252" s="16">
        <f t="shared" si="68"/>
        <v>0</v>
      </c>
      <c r="AI252" s="17" cm="1">
        <f t="array" ref="AI252">$H252 *
IF(ISNUMBER(SEARCH("Rapid",$L252)),7/6,1) *
IF(OR(ISNUMBER(SEARCH("Beam",$L252)),ISNUMBER(SEARCH("Firestorm",$L252))),1, IF(ISNUMBER(SEARCH("Blast",$L252)),(4+$G252+(2-$G252)*0.5)/6*2,(4+$G252)/6)) *
_xlfn.IFS(AI$24-$I252 &lt;=1, 5/6, AI$24-$I252 &lt;=5, (7-(AI$24-$I252))/6, AND(AI$24-$I252 =6,NOT(_xlfn.IFNA(ISNUMBER(SEARCH("Rending",$L252)),FALSE))), (7-(AI$24-$I252))/6, AND(AI$24-$I252 &gt;=7,NOT(_xlfn.IFNA(ISNUMBER(SEARCH("Rending",$L252)),FALSE))), 0, AI$24-$I252 =7, (7-(AI$24-1-$I252))/6, AI$24-$I252 =8, (7-(AI$24-2-$I252))/6*2/3, AI$24-$I252 =9, (7-(AI$24-3-$I252))/6*1/3, TRUE, 0) *
IF(ISNUMBER(SEARCH("Ordinance",$L252)),7/6,1) *
IF(OR(ISNUMBER(SEARCH("Melee",$L252)),ISNUMBER(SEARCH("Bypass",$L252))),1.5,1)</f>
        <v>0</v>
      </c>
      <c r="AJ252" s="17" cm="1">
        <f t="array" ref="AJ252">$H252 *
IF(ISNUMBER(SEARCH("Rapid",$L252)),7/6,1) *
IF(OR(ISNUMBER(SEARCH("Beam",$L252)),ISNUMBER(SEARCH("Firestorm",$L252))),1, IF(ISNUMBER(SEARCH("Blast",$L252)),(4+$G252+(2-$G252)*0.5)/6*2,(4+$G252)/6)) *
_xlfn.IFS(AJ$24-$I252 &lt;=1, 5/6, AJ$24-$I252 &lt;=5, (7-(AJ$24-$I252))/6, AND(AJ$24-$I252 =6,NOT(_xlfn.IFNA(ISNUMBER(SEARCH("Rending",$L252)),FALSE))), (7-(AJ$24-$I252))/6, AND(AJ$24-$I252 &gt;=7,NOT(_xlfn.IFNA(ISNUMBER(SEARCH("Rending",$L252)),FALSE))), 0, AJ$24-$I252 =7, (7-(AJ$24-1-$I252))/6, AJ$24-$I252 =8, (7-(AJ$24-2-$I252))/6*2/3, AJ$24-$I252 =9, (7-(AJ$24-3-$I252))/6*1/3, TRUE, 0) *
IF(ISNUMBER(SEARCH("Ordinance",$L252)),7/6,1) *
IF(OR(ISNUMBER(SEARCH("Melee",$L252)),ISNUMBER(SEARCH("Bypass",$L252))),1.5,1)</f>
        <v>0</v>
      </c>
      <c r="AK252" s="17" cm="1">
        <f t="array" ref="AK252">$H252 *
IF(ISNUMBER(SEARCH("Rapid",$L252)),7/6,1) *
IF(OR(ISNUMBER(SEARCH("Beam",$L252)),ISNUMBER(SEARCH("Firestorm",$L252))),1, IF(ISNUMBER(SEARCH("Blast",$L252)),(4+$G252+(2-$G252)*0.5)/6*2,(4+$G252)/6)) *
_xlfn.IFS(AK$24-$I252 &lt;=1, 5/6, AK$24-$I252 &lt;=5, (7-(AK$24-$I252))/6, AND(AK$24-$I252 =6,NOT(_xlfn.IFNA(ISNUMBER(SEARCH("Rending",$L252)),FALSE))), (7-(AK$24-$I252))/6, AND(AK$24-$I252 &gt;=7,NOT(_xlfn.IFNA(ISNUMBER(SEARCH("Rending",$L252)),FALSE))), 0, AK$24-$I252 =7, (7-(AK$24-1-$I252))/6, AK$24-$I252 =8, (7-(AK$24-2-$I252))/6*2/3, AK$24-$I252 =9, (7-(AK$24-3-$I252))/6*1/3, TRUE, 0) *
IF(ISNUMBER(SEARCH("Ordinance",$L252)),7/6,1) *
IF(OR(ISNUMBER(SEARCH("Melee",$L252)),ISNUMBER(SEARCH("Bypass",$L252))),1.5,1)</f>
        <v>0</v>
      </c>
      <c r="AL252" s="17" cm="1">
        <f t="array" ref="AL252">$H252 *
IF(ISNUMBER(SEARCH("Rapid",$L252)),7/6,1) *
IF(OR(ISNUMBER(SEARCH("Beam",$L252)),ISNUMBER(SEARCH("Firestorm",$L252))),1, IF(ISNUMBER(SEARCH("Blast",$L252)),(4+$G252+(2-$G252)*0.5)/6*2,(4+$G252)/6)) *
_xlfn.IFS(AL$24-$I252 &lt;=1, 5/6, AL$24-$I252 &lt;=5, (7-(AL$24-$I252))/6, AND(AL$24-$I252 =6,NOT(_xlfn.IFNA(ISNUMBER(SEARCH("Rending",$L252)),FALSE))), (7-(AL$24-$I252))/6, AND(AL$24-$I252 &gt;=7,NOT(_xlfn.IFNA(ISNUMBER(SEARCH("Rending",$L252)),FALSE))), 0, AL$24-$I252 =7, (7-(AL$24-1-$I252))/6, AL$24-$I252 =8, (7-(AL$24-2-$I252))/6*2/3, AL$24-$I252 =9, (7-(AL$24-3-$I252))/6*1/3, TRUE, 0) *
IF(ISNUMBER(SEARCH("Ordinance",$L252)),7/6,1) *
IF(OR(ISNUMBER(SEARCH("Melee",$L252)),ISNUMBER(SEARCH("Bypass",$L252))),1.5,1)</f>
        <v>0</v>
      </c>
      <c r="AM252" s="17" cm="1">
        <f t="array" ref="AM252">$H252 *
IF(ISNUMBER(SEARCH("Rapid",$L252)),7/6,1) *
IF(OR(ISNUMBER(SEARCH("Beam",$L252)),ISNUMBER(SEARCH("Firestorm",$L252))),1, IF(ISNUMBER(SEARCH("Blast",$L252)),(4+$G252+(2-$G252)*0.5)/6*2,(4+$G252)/6)) *
_xlfn.IFS(AM$24-$I252 &lt;=1, 5/6, AM$24-$I252 &lt;=5, (7-(AM$24-$I252))/6, AND(AM$24-$I252 =6,NOT(_xlfn.IFNA(ISNUMBER(SEARCH("Rending",$L252)),FALSE))), (7-(AM$24-$I252))/6, AND(AM$24-$I252 &gt;=7,NOT(_xlfn.IFNA(ISNUMBER(SEARCH("Rending",$L252)),FALSE))), 0, AM$24-$I252 =7, (7-(AM$24-1-$I252))/6, AM$24-$I252 =8, (7-(AM$24-2-$I252))/6*2/3, AM$24-$I252 =9, (7-(AM$24-3-$I252))/6*1/3, TRUE, 0) *
IF(ISNUMBER(SEARCH("Ordinance",$L252)),7/6,1) *
IF(OR(ISNUMBER(SEARCH("Melee",$L252)),ISNUMBER(SEARCH("Bypass",$L252))),1.5,1)</f>
        <v>0</v>
      </c>
      <c r="AN252" s="17" cm="1">
        <f t="array" ref="AN252">$H252 *
IF(ISNUMBER(SEARCH("Rapid",$L252)),7/6,1) *
IF(OR(ISNUMBER(SEARCH("Beam",$L252)),ISNUMBER(SEARCH("Firestorm",$L252))),1, IF(ISNUMBER(SEARCH("Blast",$L252)),(4+$G252+(2-$G252)*0.5)/6*2,(4+$G252)/6)) *
_xlfn.IFS(AN$24-$I252 &lt;=1, 5/6, AN$24-$I252 &lt;=5, (7-(AN$24-$I252))/6, AND(AN$24-$I252 =6,NOT(_xlfn.IFNA(ISNUMBER(SEARCH("Rending",$L252)),FALSE))), (7-(AN$24-$I252))/6, AND(AN$24-$I252 &gt;=7,NOT(_xlfn.IFNA(ISNUMBER(SEARCH("Rending",$L252)),FALSE))), 0, AN$24-$I252 =7, (7-(AN$24-1-$I252))/6, AN$24-$I252 =8, (7-(AN$24-2-$I252))/6*2/3, AN$24-$I252 =9, (7-(AN$24-3-$I252))/6*1/3, TRUE, 0) *
IF(ISNUMBER(SEARCH("Ordinance",$L252)),7/6,1) *
IF(OR(ISNUMBER(SEARCH("Melee",$L252)),ISNUMBER(SEARCH("Bypass",$L252))),1.5,1)</f>
        <v>0</v>
      </c>
      <c r="AO252" s="17" cm="1">
        <f t="array" ref="AO252">$H252 *
IF(ISNUMBER(SEARCH("Rapid",$L252)),7/6,1) *
IF(OR(ISNUMBER(SEARCH("Beam",$L252)),ISNUMBER(SEARCH("Firestorm",$L252))),1, IF(ISNUMBER(SEARCH("Blast",$L252)),(4+$G252+(2-$G252)*0.5)/6*2,(4+$G252)/6)) *
_xlfn.IFS(AO$24-$I252 &lt;=1, 5/6, AO$24-$I252 &lt;=5, (7-(AO$24-$I252))/6, AND(AO$24-$I252 =6,NOT(_xlfn.IFNA(ISNUMBER(SEARCH("Rending",$L252)),FALSE))), (7-(AO$24-$I252))/6, AND(AO$24-$I252 &gt;=7,NOT(_xlfn.IFNA(ISNUMBER(SEARCH("Rending",$L252)),FALSE))), 0, AO$24-$I252 =7, (7-(AO$24-1-$I252))/6, AO$24-$I252 =8, (7-(AO$24-2-$I252))/6*2/3, AO$24-$I252 =9, (7-(AO$24-3-$I252))/6*1/3, TRUE, 0) *
IF(ISNUMBER(SEARCH("Ordinance",$L252)),7/6,1) *
IF(OR(ISNUMBER(SEARCH("Melee",$L252)),ISNUMBER(SEARCH("Bypass",$L252))),1.5,1)</f>
        <v>0</v>
      </c>
      <c r="AP252" s="17" cm="1">
        <f t="array" ref="AP252">$H252 *
IF(ISNUMBER(SEARCH("Rapid",$L252)),7/6,1) *
IF(OR(ISNUMBER(SEARCH("Beam",$L252)),ISNUMBER(SEARCH("Firestorm",$L252))),1, IF(ISNUMBER(SEARCH("Blast",$L252)),(4+$G252+(2-$G252)*0.5)/6*2,(4+$G252)/6)) *
_xlfn.IFS(AP$24-$I252 &lt;=1, 5/6, AP$24-$I252 &lt;=5, (7-(AP$24-$I252))/6, AND(AP$24-$I252 =6,NOT(_xlfn.IFNA(ISNUMBER(SEARCH("Rending",$L252)),FALSE))), (7-(AP$24-$I252))/6, AND(AP$24-$I252 &gt;=7,NOT(_xlfn.IFNA(ISNUMBER(SEARCH("Rending",$L252)),FALSE))), 0, AP$24-$I252 =7, (7-(AP$24-1-$I252))/6, AP$24-$I252 =8, (7-(AP$24-2-$I252))/6*2/3, AP$24-$I252 =9, (7-(AP$24-3-$I252))/6*1/3, TRUE, 0) *
IF(ISNUMBER(SEARCH("Ordinance",$L252)),7/6,1) *
IF(OR(ISNUMBER(SEARCH("Melee",$L252)),ISNUMBER(SEARCH("Bypass",$L252))),1.5,1)</f>
        <v>0</v>
      </c>
      <c r="AQ252" s="17" cm="1">
        <f t="array" ref="AQ252">$H252 *
IF(ISNUMBER(SEARCH("Rapid",$L252)),7/6,1) *
IF(OR(ISNUMBER(SEARCH("Beam",$L252)),ISNUMBER(SEARCH("Firestorm",$L252))),1, IF(ISNUMBER(SEARCH("Blast",$L252)),(4+$G252+(2-$G252)*0.5)/6*2,(4+$G252)/6)) *
_xlfn.IFS(AQ$24-$I252 &lt;=1, 5/6, AQ$24-$I252 &lt;=5, (7-(AQ$24-$I252))/6, AND(AQ$24-$I252 =6,NOT(_xlfn.IFNA(ISNUMBER(SEARCH("Rending",$L252)),FALSE))), (7-(AQ$24-$I252))/6, AND(AQ$24-$I252 &gt;=7,NOT(_xlfn.IFNA(ISNUMBER(SEARCH("Rending",$L252)),FALSE))), 0, AQ$24-$I252 =7, (7-(AQ$24-1-$I252))/6, AQ$24-$I252 =8, (7-(AQ$24-2-$I252))/6*2/3, AQ$24-$I252 =9, (7-(AQ$24-3-$I252))/6*1/3, TRUE, 0) *
IF(ISNUMBER(SEARCH("Ordinance",$L252)),7/6,1) *
IF(OR(ISNUMBER(SEARCH("Melee",$L252)),ISNUMBER(SEARCH("Bypass",$L252))),1.5,1)</f>
        <v>0</v>
      </c>
      <c r="AS252" s="16">
        <f t="shared" si="72"/>
        <v>0</v>
      </c>
      <c r="AT252" s="16">
        <f t="shared" si="73"/>
        <v>0</v>
      </c>
      <c r="AU252" s="16">
        <f t="shared" si="74"/>
        <v>0</v>
      </c>
      <c r="AV252" s="2">
        <v>11</v>
      </c>
    </row>
    <row r="253" spans="1:48" x14ac:dyDescent="0.3">
      <c r="A253" t="s">
        <v>814</v>
      </c>
      <c r="B253" s="3">
        <v>4</v>
      </c>
      <c r="C253" s="3">
        <v>8</v>
      </c>
      <c r="F253" s="10"/>
      <c r="G253" s="10">
        <v>-1</v>
      </c>
      <c r="H253" s="3">
        <v>1</v>
      </c>
      <c r="I253" s="3">
        <v>8</v>
      </c>
      <c r="J253" s="3" t="s">
        <v>810</v>
      </c>
      <c r="K253" s="3">
        <v>5</v>
      </c>
      <c r="L253" s="3" t="s">
        <v>481</v>
      </c>
      <c r="V253" s="16">
        <f t="shared" si="65"/>
        <v>0.22222222222222221</v>
      </c>
      <c r="W253" s="16">
        <f t="shared" si="66"/>
        <v>0.33333333333333331</v>
      </c>
      <c r="X253" s="17" cm="1">
        <f t="array" ref="X253">$H253 *
IF(ISNUMBER(SEARCH("Rapid",$L253)),7/6,1) *
IF(OR(ISNUMBER(SEARCH("Beam",$L253)),ISNUMBER(SEARCH("Firestorm",$L253))),1, IF(ISNUMBER(SEARCH("Blast",$L253)),(4+$F253+(2-$F253)*0.5)/6*2,(4+$F253)/6)) *
IF(ISNUMBER(SEARCH("Fusion",$L253)), _xlfn.IFS(X$24-$I253 &lt;=1, 9/10, X$24-$I253 &lt;=10,(11-(X$24-$I253))/10, X$24-$I253 &gt;=11, 0),
_xlfn.IFS(X$24-$I253 &lt;=1, 5/6, X$24-$I253 &lt;=5, (7-(X$24-$I253))/6, AND(X$24-$I253 =6,NOT(_xlfn.IFNA(ISNUMBER(SEARCH("Rending",$L253)),FALSE))), (7-(X$24-$I253))/6, AND(X$24-$I253 &gt;=7,NOT(_xlfn.IFNA(ISNUMBER(SEARCH("Rending",$L253)),FALSE))), 0, X$24-$I253 =7, (7-(X$24-1-$I253))/6, X$24-$I253 =8, (7-(X$24-2-$I253))/6*2/3, X$24-$I253 =9, (7-(X$24-3-$I253))/6*1/3, TRUE, 0)) *
IF(ISNUMBER(SEARCH("Ordinance",$L253)),7/6,1) *
IF(OR(ISNUMBER(SEARCH("Melee",$L253)),ISNUMBER(SEARCH("Bypass",$L253))),1.5,1)</f>
        <v>0.6</v>
      </c>
      <c r="Y253" s="17" cm="1">
        <f t="array" ref="Y253">$H253 *
IF(ISNUMBER(SEARCH("Rapid",$L253)),7/6,1) *
IF(OR(ISNUMBER(SEARCH("Beam",$L253)),ISNUMBER(SEARCH("Firestorm",$L253))),1, IF(ISNUMBER(SEARCH("Blast",$L253)),(4+$F253+(2-$F253)*0.5)/6*2,(4+$F253)/6)) *
IF(ISNUMBER(SEARCH("Fusion",$L253)), _xlfn.IFS(Y$24-$I253 &lt;=1, 9/10, Y$24-$I253 &lt;=10,(11-(Y$24-$I253))/10, Y$24-$I253 &gt;=11, 0),
_xlfn.IFS(Y$24-$I253 &lt;=1, 5/6, Y$24-$I253 &lt;=5, (7-(Y$24-$I253))/6, AND(Y$24-$I253 =6,NOT(_xlfn.IFNA(ISNUMBER(SEARCH("Rending",$L253)),FALSE))), (7-(Y$24-$I253))/6, AND(Y$24-$I253 &gt;=7,NOT(_xlfn.IFNA(ISNUMBER(SEARCH("Rending",$L253)),FALSE))), 0, Y$24-$I253 =7, (7-(Y$24-1-$I253))/6, Y$24-$I253 =8, (7-(Y$24-2-$I253))/6*2/3, Y$24-$I253 =9, (7-(Y$24-3-$I253))/6*1/3, TRUE, 0)) *
IF(ISNUMBER(SEARCH("Ordinance",$L253)),7/6,1) *
IF(OR(ISNUMBER(SEARCH("Melee",$L253)),ISNUMBER(SEARCH("Bypass",$L253))),1.5,1)</f>
        <v>0.6</v>
      </c>
      <c r="Z253" s="17" cm="1">
        <f t="array" ref="Z253">$H253 *
IF(ISNUMBER(SEARCH("Rapid",$L253)),7/6,1) *
IF(OR(ISNUMBER(SEARCH("Beam",$L253)),ISNUMBER(SEARCH("Firestorm",$L253))),1, IF(ISNUMBER(SEARCH("Blast",$L253)),(4+$F253+(2-$F253)*0.5)/6*2,(4+$F253)/6)) *
IF(ISNUMBER(SEARCH("Fusion",$L253)), _xlfn.IFS(Z$24-$I253 &lt;=1, 9/10, Z$24-$I253 &lt;=10,(11-(Z$24-$I253))/10, Z$24-$I253 &gt;=11, 0),
_xlfn.IFS(Z$24-$I253 &lt;=1, 5/6, Z$24-$I253 &lt;=5, (7-(Z$24-$I253))/6, AND(Z$24-$I253 =6,NOT(_xlfn.IFNA(ISNUMBER(SEARCH("Rending",$L253)),FALSE))), (7-(Z$24-$I253))/6, AND(Z$24-$I253 &gt;=7,NOT(_xlfn.IFNA(ISNUMBER(SEARCH("Rending",$L253)),FALSE))), 0, Z$24-$I253 =7, (7-(Z$24-1-$I253))/6, Z$24-$I253 =8, (7-(Z$24-2-$I253))/6*2/3, Z$24-$I253 =9, (7-(Z$24-3-$I253))/6*1/3, TRUE, 0)) *
IF(ISNUMBER(SEARCH("Ordinance",$L253)),7/6,1) *
IF(OR(ISNUMBER(SEARCH("Melee",$L253)),ISNUMBER(SEARCH("Bypass",$L253))),1.5,1)</f>
        <v>0.53333333333333333</v>
      </c>
      <c r="AA253" s="17" cm="1">
        <f t="array" ref="AA253">$H253 *
IF(ISNUMBER(SEARCH("Rapid",$L253)),7/6,1) *
IF(OR(ISNUMBER(SEARCH("Beam",$L253)),ISNUMBER(SEARCH("Firestorm",$L253))),1, IF(ISNUMBER(SEARCH("Blast",$L253)),(4+$F253+(2-$F253)*0.5)/6*2,(4+$F253)/6)) *
IF(ISNUMBER(SEARCH("Fusion",$L253)), _xlfn.IFS(AA$24-$I253 &lt;=1, 9/10, AA$24-$I253 &lt;=10,(11-(AA$24-$I253))/10, AA$24-$I253 &gt;=11, 0),
_xlfn.IFS(AA$24-$I253 &lt;=1, 5/6, AA$24-$I253 &lt;=5, (7-(AA$24-$I253))/6, AND(AA$24-$I253 =6,NOT(_xlfn.IFNA(ISNUMBER(SEARCH("Rending",$L253)),FALSE))), (7-(AA$24-$I253))/6, AND(AA$24-$I253 &gt;=7,NOT(_xlfn.IFNA(ISNUMBER(SEARCH("Rending",$L253)),FALSE))), 0, AA$24-$I253 =7, (7-(AA$24-1-$I253))/6, AA$24-$I253 =8, (7-(AA$24-2-$I253))/6*2/3, AA$24-$I253 =9, (7-(AA$24-3-$I253))/6*1/3, TRUE, 0)) *
IF(ISNUMBER(SEARCH("Ordinance",$L253)),7/6,1) *
IF(OR(ISNUMBER(SEARCH("Melee",$L253)),ISNUMBER(SEARCH("Bypass",$L253))),1.5,1)</f>
        <v>0.46666666666666662</v>
      </c>
      <c r="AB253" s="17" cm="1">
        <f t="array" ref="AB253">$H253 *
IF(ISNUMBER(SEARCH("Rapid",$L253)),7/6,1) *
IF(OR(ISNUMBER(SEARCH("Beam",$L253)),ISNUMBER(SEARCH("Firestorm",$L253))),1, IF(ISNUMBER(SEARCH("Blast",$L253)),(4+$F253+(2-$F253)*0.5)/6*2,(4+$F253)/6)) *
IF(ISNUMBER(SEARCH("Fusion",$L253)), _xlfn.IFS(AB$24-$I253 &lt;=1, 9/10, AB$24-$I253 &lt;=10,(11-(AB$24-$I253))/10, AB$24-$I253 &gt;=11, 0),
_xlfn.IFS(AB$24-$I253 &lt;=1, 5/6, AB$24-$I253 &lt;=5, (7-(AB$24-$I253))/6, AND(AB$24-$I253 =6,NOT(_xlfn.IFNA(ISNUMBER(SEARCH("Rending",$L253)),FALSE))), (7-(AB$24-$I253))/6, AND(AB$24-$I253 &gt;=7,NOT(_xlfn.IFNA(ISNUMBER(SEARCH("Rending",$L253)),FALSE))), 0, AB$24-$I253 =7, (7-(AB$24-1-$I253))/6, AB$24-$I253 =8, (7-(AB$24-2-$I253))/6*2/3, AB$24-$I253 =9, (7-(AB$24-3-$I253))/6*1/3, TRUE, 0)) *
IF(ISNUMBER(SEARCH("Ordinance",$L253)),7/6,1) *
IF(OR(ISNUMBER(SEARCH("Melee",$L253)),ISNUMBER(SEARCH("Bypass",$L253))),1.5,1)</f>
        <v>0.39999999999999997</v>
      </c>
      <c r="AC253" s="17" cm="1">
        <f t="array" ref="AC253">$H253 *
IF(ISNUMBER(SEARCH("Rapid",$L253)),7/6,1) *
IF(OR(ISNUMBER(SEARCH("Beam",$L253)),ISNUMBER(SEARCH("Firestorm",$L253))),1, IF(ISNUMBER(SEARCH("Blast",$L253)),(4+$F253+(2-$F253)*0.5)/6*2,(4+$F253)/6)) *
IF(ISNUMBER(SEARCH("Fusion",$L253)), _xlfn.IFS(AC$24-$I253 &lt;=1, 9/10, AC$24-$I253 &lt;=10,(11-(AC$24-$I253))/10, AC$24-$I253 &gt;=11, 0),
_xlfn.IFS(AC$24-$I253 &lt;=1, 5/6, AC$24-$I253 &lt;=5, (7-(AC$24-$I253))/6, AND(AC$24-$I253 =6,NOT(_xlfn.IFNA(ISNUMBER(SEARCH("Rending",$L253)),FALSE))), (7-(AC$24-$I253))/6, AND(AC$24-$I253 &gt;=7,NOT(_xlfn.IFNA(ISNUMBER(SEARCH("Rending",$L253)),FALSE))), 0, AC$24-$I253 =7, (7-(AC$24-1-$I253))/6, AC$24-$I253 =8, (7-(AC$24-2-$I253))/6*2/3, AC$24-$I253 =9, (7-(AC$24-3-$I253))/6*1/3, TRUE, 0)) *
IF(ISNUMBER(SEARCH("Ordinance",$L253)),7/6,1) *
IF(OR(ISNUMBER(SEARCH("Melee",$L253)),ISNUMBER(SEARCH("Bypass",$L253))),1.5,1)</f>
        <v>0.33333333333333331</v>
      </c>
      <c r="AD253" s="17" cm="1">
        <f t="array" ref="AD253">$H253 *
IF(ISNUMBER(SEARCH("Rapid",$L253)),7/6,1) *
IF(OR(ISNUMBER(SEARCH("Beam",$L253)),ISNUMBER(SEARCH("Firestorm",$L253))),1, IF(ISNUMBER(SEARCH("Blast",$L253)),(4+$F253+(2-$F253)*0.5)/6*2,(4+$F253)/6)) *
IF(ISNUMBER(SEARCH("Fusion",$L253)), _xlfn.IFS(AD$24-$I253 &lt;=1, 9/10, AD$24-$I253 &lt;=10,(11-(AD$24-$I253))/10, AD$24-$I253 &gt;=11, 0),
_xlfn.IFS(AD$24-$I253 &lt;=1, 5/6, AD$24-$I253 &lt;=5, (7-(AD$24-$I253))/6, AND(AD$24-$I253 =6,NOT(_xlfn.IFNA(ISNUMBER(SEARCH("Rending",$L253)),FALSE))), (7-(AD$24-$I253))/6, AND(AD$24-$I253 &gt;=7,NOT(_xlfn.IFNA(ISNUMBER(SEARCH("Rending",$L253)),FALSE))), 0, AD$24-$I253 =7, (7-(AD$24-1-$I253))/6, AD$24-$I253 =8, (7-(AD$24-2-$I253))/6*2/3, AD$24-$I253 =9, (7-(AD$24-3-$I253))/6*1/3, TRUE, 0)) *
IF(ISNUMBER(SEARCH("Ordinance",$L253)),7/6,1) *
IF(OR(ISNUMBER(SEARCH("Melee",$L253)),ISNUMBER(SEARCH("Bypass",$L253))),1.5,1)</f>
        <v>0.26666666666666666</v>
      </c>
      <c r="AE253" s="17" cm="1">
        <f t="array" ref="AE253">$H253 *
IF(ISNUMBER(SEARCH("Rapid",$L253)),7/6,1) *
IF(OR(ISNUMBER(SEARCH("Beam",$L253)),ISNUMBER(SEARCH("Firestorm",$L253))),1, IF(ISNUMBER(SEARCH("Blast",$L253)),(4+$F253+(2-$F253)*0.5)/6*2,(4+$F253)/6)) *
IF(ISNUMBER(SEARCH("Fusion",$L253)), _xlfn.IFS(AE$24-$I253 &lt;=1, 9/10, AE$24-$I253 &lt;=10,(11-(AE$24-$I253))/10, AE$24-$I253 &gt;=11, 0),
_xlfn.IFS(AE$24-$I253 &lt;=1, 5/6, AE$24-$I253 &lt;=5, (7-(AE$24-$I253))/6, AND(AE$24-$I253 =6,NOT(_xlfn.IFNA(ISNUMBER(SEARCH("Rending",$L253)),FALSE))), (7-(AE$24-$I253))/6, AND(AE$24-$I253 &gt;=7,NOT(_xlfn.IFNA(ISNUMBER(SEARCH("Rending",$L253)),FALSE))), 0, AE$24-$I253 =7, (7-(AE$24-1-$I253))/6, AE$24-$I253 =8, (7-(AE$24-2-$I253))/6*2/3, AE$24-$I253 =9, (7-(AE$24-3-$I253))/6*1/3, TRUE, 0)) *
IF(ISNUMBER(SEARCH("Ordinance",$L253)),7/6,1) *
IF(OR(ISNUMBER(SEARCH("Melee",$L253)),ISNUMBER(SEARCH("Bypass",$L253))),1.5,1)</f>
        <v>0.19999999999999998</v>
      </c>
      <c r="AF253" s="17" cm="1">
        <f t="array" ref="AF253">$H253 *
IF(ISNUMBER(SEARCH("Rapid",$L253)),7/6,1) *
IF(OR(ISNUMBER(SEARCH("Beam",$L253)),ISNUMBER(SEARCH("Firestorm",$L253))),1, IF(ISNUMBER(SEARCH("Blast",$L253)),(4+$F253+(2-$F253)*0.5)/6*2,(4+$F253)/6)) *
IF(ISNUMBER(SEARCH("Fusion",$L253)), _xlfn.IFS(AF$24-$I253 &lt;=1, 9/10, AF$24-$I253 &lt;=10,(11-(AF$24-$I253))/10, AF$24-$I253 &gt;=11, 0),
_xlfn.IFS(AF$24-$I253 &lt;=1, 5/6, AF$24-$I253 &lt;=5, (7-(AF$24-$I253))/6, AND(AF$24-$I253 =6,NOT(_xlfn.IFNA(ISNUMBER(SEARCH("Rending",$L253)),FALSE))), (7-(AF$24-$I253))/6, AND(AF$24-$I253 &gt;=7,NOT(_xlfn.IFNA(ISNUMBER(SEARCH("Rending",$L253)),FALSE))), 0, AF$24-$I253 =7, (7-(AF$24-1-$I253))/6, AF$24-$I253 =8, (7-(AF$24-2-$I253))/6*2/3, AF$24-$I253 =9, (7-(AF$24-3-$I253))/6*1/3, TRUE, 0)) *
IF(ISNUMBER(SEARCH("Ordinance",$L253)),7/6,1) *
IF(OR(ISNUMBER(SEARCH("Melee",$L253)),ISNUMBER(SEARCH("Bypass",$L253))),1.5,1)</f>
        <v>0.13333333333333333</v>
      </c>
      <c r="AG253" s="16">
        <f t="shared" si="67"/>
        <v>0.16666666666666666</v>
      </c>
      <c r="AH253" s="16">
        <f t="shared" si="68"/>
        <v>0.25</v>
      </c>
      <c r="AI253" s="17" cm="1">
        <f t="array" ref="AI253">$H253 *
IF(ISNUMBER(SEARCH("Rapid",$L253)),7/6,1) *
IF(OR(ISNUMBER(SEARCH("Beam",$L253)),ISNUMBER(SEARCH("Firestorm",$L253))),1, IF(ISNUMBER(SEARCH("Blast",$L253)),(4+$G253+(2-$G253)*0.5)/6*2,(4+$G253)/6)) *
_xlfn.IFS(AI$24-$I253 &lt;=1, 5/6, AI$24-$I253 &lt;=5, (7-(AI$24-$I253))/6, AND(AI$24-$I253 =6,NOT(_xlfn.IFNA(ISNUMBER(SEARCH("Rending",$L253)),FALSE))), (7-(AI$24-$I253))/6, AND(AI$24-$I253 &gt;=7,NOT(_xlfn.IFNA(ISNUMBER(SEARCH("Rending",$L253)),FALSE))), 0, AI$24-$I253 =7, (7-(AI$24-1-$I253))/6, AI$24-$I253 =8, (7-(AI$24-2-$I253))/6*2/3, AI$24-$I253 =9, (7-(AI$24-3-$I253))/6*1/3, TRUE, 0) *
IF(ISNUMBER(SEARCH("Ordinance",$L253)),7/6,1) *
IF(OR(ISNUMBER(SEARCH("Melee",$L253)),ISNUMBER(SEARCH("Bypass",$L253))),1.5,1)</f>
        <v>0.41666666666666669</v>
      </c>
      <c r="AJ253" s="17" cm="1">
        <f t="array" ref="AJ253">$H253 *
IF(ISNUMBER(SEARCH("Rapid",$L253)),7/6,1) *
IF(OR(ISNUMBER(SEARCH("Beam",$L253)),ISNUMBER(SEARCH("Firestorm",$L253))),1, IF(ISNUMBER(SEARCH("Blast",$L253)),(4+$G253+(2-$G253)*0.5)/6*2,(4+$G253)/6)) *
_xlfn.IFS(AJ$24-$I253 &lt;=1, 5/6, AJ$24-$I253 &lt;=5, (7-(AJ$24-$I253))/6, AND(AJ$24-$I253 =6,NOT(_xlfn.IFNA(ISNUMBER(SEARCH("Rending",$L253)),FALSE))), (7-(AJ$24-$I253))/6, AND(AJ$24-$I253 &gt;=7,NOT(_xlfn.IFNA(ISNUMBER(SEARCH("Rending",$L253)),FALSE))), 0, AJ$24-$I253 =7, (7-(AJ$24-1-$I253))/6, AJ$24-$I253 =8, (7-(AJ$24-2-$I253))/6*2/3, AJ$24-$I253 =9, (7-(AJ$24-3-$I253))/6*1/3, TRUE, 0) *
IF(ISNUMBER(SEARCH("Ordinance",$L253)),7/6,1) *
IF(OR(ISNUMBER(SEARCH("Melee",$L253)),ISNUMBER(SEARCH("Bypass",$L253))),1.5,1)</f>
        <v>0.41666666666666669</v>
      </c>
      <c r="AK253" s="17" cm="1">
        <f t="array" ref="AK253">$H253 *
IF(ISNUMBER(SEARCH("Rapid",$L253)),7/6,1) *
IF(OR(ISNUMBER(SEARCH("Beam",$L253)),ISNUMBER(SEARCH("Firestorm",$L253))),1, IF(ISNUMBER(SEARCH("Blast",$L253)),(4+$G253+(2-$G253)*0.5)/6*2,(4+$G253)/6)) *
_xlfn.IFS(AK$24-$I253 &lt;=1, 5/6, AK$24-$I253 &lt;=5, (7-(AK$24-$I253))/6, AND(AK$24-$I253 =6,NOT(_xlfn.IFNA(ISNUMBER(SEARCH("Rending",$L253)),FALSE))), (7-(AK$24-$I253))/6, AND(AK$24-$I253 &gt;=7,NOT(_xlfn.IFNA(ISNUMBER(SEARCH("Rending",$L253)),FALSE))), 0, AK$24-$I253 =7, (7-(AK$24-1-$I253))/6, AK$24-$I253 =8, (7-(AK$24-2-$I253))/6*2/3, AK$24-$I253 =9, (7-(AK$24-3-$I253))/6*1/3, TRUE, 0) *
IF(ISNUMBER(SEARCH("Ordinance",$L253)),7/6,1) *
IF(OR(ISNUMBER(SEARCH("Melee",$L253)),ISNUMBER(SEARCH("Bypass",$L253))),1.5,1)</f>
        <v>0.33333333333333331</v>
      </c>
      <c r="AL253" s="17" cm="1">
        <f t="array" ref="AL253">$H253 *
IF(ISNUMBER(SEARCH("Rapid",$L253)),7/6,1) *
IF(OR(ISNUMBER(SEARCH("Beam",$L253)),ISNUMBER(SEARCH("Firestorm",$L253))),1, IF(ISNUMBER(SEARCH("Blast",$L253)),(4+$G253+(2-$G253)*0.5)/6*2,(4+$G253)/6)) *
_xlfn.IFS(AL$24-$I253 &lt;=1, 5/6, AL$24-$I253 &lt;=5, (7-(AL$24-$I253))/6, AND(AL$24-$I253 =6,NOT(_xlfn.IFNA(ISNUMBER(SEARCH("Rending",$L253)),FALSE))), (7-(AL$24-$I253))/6, AND(AL$24-$I253 &gt;=7,NOT(_xlfn.IFNA(ISNUMBER(SEARCH("Rending",$L253)),FALSE))), 0, AL$24-$I253 =7, (7-(AL$24-1-$I253))/6, AL$24-$I253 =8, (7-(AL$24-2-$I253))/6*2/3, AL$24-$I253 =9, (7-(AL$24-3-$I253))/6*1/3, TRUE, 0) *
IF(ISNUMBER(SEARCH("Ordinance",$L253)),7/6,1) *
IF(OR(ISNUMBER(SEARCH("Melee",$L253)),ISNUMBER(SEARCH("Bypass",$L253))),1.5,1)</f>
        <v>0.25</v>
      </c>
      <c r="AM253" s="17" cm="1">
        <f t="array" ref="AM253">$H253 *
IF(ISNUMBER(SEARCH("Rapid",$L253)),7/6,1) *
IF(OR(ISNUMBER(SEARCH("Beam",$L253)),ISNUMBER(SEARCH("Firestorm",$L253))),1, IF(ISNUMBER(SEARCH("Blast",$L253)),(4+$G253+(2-$G253)*0.5)/6*2,(4+$G253)/6)) *
_xlfn.IFS(AM$24-$I253 &lt;=1, 5/6, AM$24-$I253 &lt;=5, (7-(AM$24-$I253))/6, AND(AM$24-$I253 =6,NOT(_xlfn.IFNA(ISNUMBER(SEARCH("Rending",$L253)),FALSE))), (7-(AM$24-$I253))/6, AND(AM$24-$I253 &gt;=7,NOT(_xlfn.IFNA(ISNUMBER(SEARCH("Rending",$L253)),FALSE))), 0, AM$24-$I253 =7, (7-(AM$24-1-$I253))/6, AM$24-$I253 =8, (7-(AM$24-2-$I253))/6*2/3, AM$24-$I253 =9, (7-(AM$24-3-$I253))/6*1/3, TRUE, 0) *
IF(ISNUMBER(SEARCH("Ordinance",$L253)),7/6,1) *
IF(OR(ISNUMBER(SEARCH("Melee",$L253)),ISNUMBER(SEARCH("Bypass",$L253))),1.5,1)</f>
        <v>0.16666666666666666</v>
      </c>
      <c r="AN253" s="17" cm="1">
        <f t="array" ref="AN253">$H253 *
IF(ISNUMBER(SEARCH("Rapid",$L253)),7/6,1) *
IF(OR(ISNUMBER(SEARCH("Beam",$L253)),ISNUMBER(SEARCH("Firestorm",$L253))),1, IF(ISNUMBER(SEARCH("Blast",$L253)),(4+$G253+(2-$G253)*0.5)/6*2,(4+$G253)/6)) *
_xlfn.IFS(AN$24-$I253 &lt;=1, 5/6, AN$24-$I253 &lt;=5, (7-(AN$24-$I253))/6, AND(AN$24-$I253 =6,NOT(_xlfn.IFNA(ISNUMBER(SEARCH("Rending",$L253)),FALSE))), (7-(AN$24-$I253))/6, AND(AN$24-$I253 &gt;=7,NOT(_xlfn.IFNA(ISNUMBER(SEARCH("Rending",$L253)),FALSE))), 0, AN$24-$I253 =7, (7-(AN$24-1-$I253))/6, AN$24-$I253 =8, (7-(AN$24-2-$I253))/6*2/3, AN$24-$I253 =9, (7-(AN$24-3-$I253))/6*1/3, TRUE, 0) *
IF(ISNUMBER(SEARCH("Ordinance",$L253)),7/6,1) *
IF(OR(ISNUMBER(SEARCH("Melee",$L253)),ISNUMBER(SEARCH("Bypass",$L253))),1.5,1)</f>
        <v>8.3333333333333329E-2</v>
      </c>
      <c r="AO253" s="17" cm="1">
        <f t="array" ref="AO253">$H253 *
IF(ISNUMBER(SEARCH("Rapid",$L253)),7/6,1) *
IF(OR(ISNUMBER(SEARCH("Beam",$L253)),ISNUMBER(SEARCH("Firestorm",$L253))),1, IF(ISNUMBER(SEARCH("Blast",$L253)),(4+$G253+(2-$G253)*0.5)/6*2,(4+$G253)/6)) *
_xlfn.IFS(AO$24-$I253 &lt;=1, 5/6, AO$24-$I253 &lt;=5, (7-(AO$24-$I253))/6, AND(AO$24-$I253 =6,NOT(_xlfn.IFNA(ISNUMBER(SEARCH("Rending",$L253)),FALSE))), (7-(AO$24-$I253))/6, AND(AO$24-$I253 &gt;=7,NOT(_xlfn.IFNA(ISNUMBER(SEARCH("Rending",$L253)),FALSE))), 0, AO$24-$I253 =7, (7-(AO$24-1-$I253))/6, AO$24-$I253 =8, (7-(AO$24-2-$I253))/6*2/3, AO$24-$I253 =9, (7-(AO$24-3-$I253))/6*1/3, TRUE, 0) *
IF(ISNUMBER(SEARCH("Ordinance",$L253)),7/6,1) *
IF(OR(ISNUMBER(SEARCH("Melee",$L253)),ISNUMBER(SEARCH("Bypass",$L253))),1.5,1)</f>
        <v>0</v>
      </c>
      <c r="AP253" s="17" cm="1">
        <f t="array" ref="AP253">$H253 *
IF(ISNUMBER(SEARCH("Rapid",$L253)),7/6,1) *
IF(OR(ISNUMBER(SEARCH("Beam",$L253)),ISNUMBER(SEARCH("Firestorm",$L253))),1, IF(ISNUMBER(SEARCH("Blast",$L253)),(4+$G253+(2-$G253)*0.5)/6*2,(4+$G253)/6)) *
_xlfn.IFS(AP$24-$I253 &lt;=1, 5/6, AP$24-$I253 &lt;=5, (7-(AP$24-$I253))/6, AND(AP$24-$I253 =6,NOT(_xlfn.IFNA(ISNUMBER(SEARCH("Rending",$L253)),FALSE))), (7-(AP$24-$I253))/6, AND(AP$24-$I253 &gt;=7,NOT(_xlfn.IFNA(ISNUMBER(SEARCH("Rending",$L253)),FALSE))), 0, AP$24-$I253 =7, (7-(AP$24-1-$I253))/6, AP$24-$I253 =8, (7-(AP$24-2-$I253))/6*2/3, AP$24-$I253 =9, (7-(AP$24-3-$I253))/6*1/3, TRUE, 0) *
IF(ISNUMBER(SEARCH("Ordinance",$L253)),7/6,1) *
IF(OR(ISNUMBER(SEARCH("Melee",$L253)),ISNUMBER(SEARCH("Bypass",$L253))),1.5,1)</f>
        <v>0</v>
      </c>
      <c r="AQ253" s="17" cm="1">
        <f t="array" ref="AQ253">$H253 *
IF(ISNUMBER(SEARCH("Rapid",$L253)),7/6,1) *
IF(OR(ISNUMBER(SEARCH("Beam",$L253)),ISNUMBER(SEARCH("Firestorm",$L253))),1, IF(ISNUMBER(SEARCH("Blast",$L253)),(4+$G253+(2-$G253)*0.5)/6*2,(4+$G253)/6)) *
_xlfn.IFS(AQ$24-$I253 &lt;=1, 5/6, AQ$24-$I253 &lt;=5, (7-(AQ$24-$I253))/6, AND(AQ$24-$I253 =6,NOT(_xlfn.IFNA(ISNUMBER(SEARCH("Rending",$L253)),FALSE))), (7-(AQ$24-$I253))/6, AND(AQ$24-$I253 &gt;=7,NOT(_xlfn.IFNA(ISNUMBER(SEARCH("Rending",$L253)),FALSE))), 0, AQ$24-$I253 =7, (7-(AQ$24-1-$I253))/6, AQ$24-$I253 =8, (7-(AQ$24-2-$I253))/6*2/3, AQ$24-$I253 =9, (7-(AQ$24-3-$I253))/6*1/3, TRUE, 0) *
IF(ISNUMBER(SEARCH("Ordinance",$L253)),7/6,1) *
IF(OR(ISNUMBER(SEARCH("Melee",$L253)),ISNUMBER(SEARCH("Bypass",$L253))),1.5,1)</f>
        <v>0</v>
      </c>
      <c r="AS253" s="16">
        <f t="shared" si="72"/>
        <v>6.1111111111111116E-2</v>
      </c>
      <c r="AT253" s="16">
        <f t="shared" si="73"/>
        <v>9.1666666666666674E-2</v>
      </c>
      <c r="AU253" s="16">
        <f t="shared" si="74"/>
        <v>0.13999999999999999</v>
      </c>
      <c r="AV253" s="2">
        <v>11</v>
      </c>
    </row>
    <row r="254" spans="1:48" x14ac:dyDescent="0.3">
      <c r="A254" t="s">
        <v>815</v>
      </c>
      <c r="B254" s="3">
        <v>6</v>
      </c>
      <c r="C254" s="3">
        <v>10</v>
      </c>
      <c r="F254" s="10"/>
      <c r="G254" s="10">
        <v>-1</v>
      </c>
      <c r="H254" s="3">
        <v>1</v>
      </c>
      <c r="I254" s="3">
        <v>8</v>
      </c>
      <c r="J254" s="3" t="s">
        <v>822</v>
      </c>
      <c r="K254" s="3">
        <v>10</v>
      </c>
      <c r="L254" s="3" t="s">
        <v>481</v>
      </c>
      <c r="V254" s="16">
        <f t="shared" si="65"/>
        <v>0.22222222222222221</v>
      </c>
      <c r="W254" s="16">
        <f t="shared" si="66"/>
        <v>0.33333333333333331</v>
      </c>
      <c r="X254" s="17" cm="1">
        <f t="array" ref="X254">$H254 *
IF(ISNUMBER(SEARCH("Rapid",$L254)),7/6,1) *
IF(OR(ISNUMBER(SEARCH("Beam",$L254)),ISNUMBER(SEARCH("Firestorm",$L254))),1, IF(ISNUMBER(SEARCH("Blast",$L254)),(4+$F254+(2-$F254)*0.5)/6*2,(4+$F254)/6)) *
IF(ISNUMBER(SEARCH("Fusion",$L254)), _xlfn.IFS(X$24-$I254 &lt;=1, 9/10, X$24-$I254 &lt;=10,(11-(X$24-$I254))/10, X$24-$I254 &gt;=11, 0),
_xlfn.IFS(X$24-$I254 &lt;=1, 5/6, X$24-$I254 &lt;=5, (7-(X$24-$I254))/6, AND(X$24-$I254 =6,NOT(_xlfn.IFNA(ISNUMBER(SEARCH("Rending",$L254)),FALSE))), (7-(X$24-$I254))/6, AND(X$24-$I254 &gt;=7,NOT(_xlfn.IFNA(ISNUMBER(SEARCH("Rending",$L254)),FALSE))), 0, X$24-$I254 =7, (7-(X$24-1-$I254))/6, X$24-$I254 =8, (7-(X$24-2-$I254))/6*2/3, X$24-$I254 =9, (7-(X$24-3-$I254))/6*1/3, TRUE, 0)) *
IF(ISNUMBER(SEARCH("Ordinance",$L254)),7/6,1) *
IF(OR(ISNUMBER(SEARCH("Melee",$L254)),ISNUMBER(SEARCH("Bypass",$L254))),1.5,1)</f>
        <v>0.6</v>
      </c>
      <c r="Y254" s="17" cm="1">
        <f t="array" ref="Y254">$H254 *
IF(ISNUMBER(SEARCH("Rapid",$L254)),7/6,1) *
IF(OR(ISNUMBER(SEARCH("Beam",$L254)),ISNUMBER(SEARCH("Firestorm",$L254))),1, IF(ISNUMBER(SEARCH("Blast",$L254)),(4+$F254+(2-$F254)*0.5)/6*2,(4+$F254)/6)) *
IF(ISNUMBER(SEARCH("Fusion",$L254)), _xlfn.IFS(Y$24-$I254 &lt;=1, 9/10, Y$24-$I254 &lt;=10,(11-(Y$24-$I254))/10, Y$24-$I254 &gt;=11, 0),
_xlfn.IFS(Y$24-$I254 &lt;=1, 5/6, Y$24-$I254 &lt;=5, (7-(Y$24-$I254))/6, AND(Y$24-$I254 =6,NOT(_xlfn.IFNA(ISNUMBER(SEARCH("Rending",$L254)),FALSE))), (7-(Y$24-$I254))/6, AND(Y$24-$I254 &gt;=7,NOT(_xlfn.IFNA(ISNUMBER(SEARCH("Rending",$L254)),FALSE))), 0, Y$24-$I254 =7, (7-(Y$24-1-$I254))/6, Y$24-$I254 =8, (7-(Y$24-2-$I254))/6*2/3, Y$24-$I254 =9, (7-(Y$24-3-$I254))/6*1/3, TRUE, 0)) *
IF(ISNUMBER(SEARCH("Ordinance",$L254)),7/6,1) *
IF(OR(ISNUMBER(SEARCH("Melee",$L254)),ISNUMBER(SEARCH("Bypass",$L254))),1.5,1)</f>
        <v>0.6</v>
      </c>
      <c r="Z254" s="17" cm="1">
        <f t="array" ref="Z254">$H254 *
IF(ISNUMBER(SEARCH("Rapid",$L254)),7/6,1) *
IF(OR(ISNUMBER(SEARCH("Beam",$L254)),ISNUMBER(SEARCH("Firestorm",$L254))),1, IF(ISNUMBER(SEARCH("Blast",$L254)),(4+$F254+(2-$F254)*0.5)/6*2,(4+$F254)/6)) *
IF(ISNUMBER(SEARCH("Fusion",$L254)), _xlfn.IFS(Z$24-$I254 &lt;=1, 9/10, Z$24-$I254 &lt;=10,(11-(Z$24-$I254))/10, Z$24-$I254 &gt;=11, 0),
_xlfn.IFS(Z$24-$I254 &lt;=1, 5/6, Z$24-$I254 &lt;=5, (7-(Z$24-$I254))/6, AND(Z$24-$I254 =6,NOT(_xlfn.IFNA(ISNUMBER(SEARCH("Rending",$L254)),FALSE))), (7-(Z$24-$I254))/6, AND(Z$24-$I254 &gt;=7,NOT(_xlfn.IFNA(ISNUMBER(SEARCH("Rending",$L254)),FALSE))), 0, Z$24-$I254 =7, (7-(Z$24-1-$I254))/6, Z$24-$I254 =8, (7-(Z$24-2-$I254))/6*2/3, Z$24-$I254 =9, (7-(Z$24-3-$I254))/6*1/3, TRUE, 0)) *
IF(ISNUMBER(SEARCH("Ordinance",$L254)),7/6,1) *
IF(OR(ISNUMBER(SEARCH("Melee",$L254)),ISNUMBER(SEARCH("Bypass",$L254))),1.5,1)</f>
        <v>0.53333333333333333</v>
      </c>
      <c r="AA254" s="17" cm="1">
        <f t="array" ref="AA254">$H254 *
IF(ISNUMBER(SEARCH("Rapid",$L254)),7/6,1) *
IF(OR(ISNUMBER(SEARCH("Beam",$L254)),ISNUMBER(SEARCH("Firestorm",$L254))),1, IF(ISNUMBER(SEARCH("Blast",$L254)),(4+$F254+(2-$F254)*0.5)/6*2,(4+$F254)/6)) *
IF(ISNUMBER(SEARCH("Fusion",$L254)), _xlfn.IFS(AA$24-$I254 &lt;=1, 9/10, AA$24-$I254 &lt;=10,(11-(AA$24-$I254))/10, AA$24-$I254 &gt;=11, 0),
_xlfn.IFS(AA$24-$I254 &lt;=1, 5/6, AA$24-$I254 &lt;=5, (7-(AA$24-$I254))/6, AND(AA$24-$I254 =6,NOT(_xlfn.IFNA(ISNUMBER(SEARCH("Rending",$L254)),FALSE))), (7-(AA$24-$I254))/6, AND(AA$24-$I254 &gt;=7,NOT(_xlfn.IFNA(ISNUMBER(SEARCH("Rending",$L254)),FALSE))), 0, AA$24-$I254 =7, (7-(AA$24-1-$I254))/6, AA$24-$I254 =8, (7-(AA$24-2-$I254))/6*2/3, AA$24-$I254 =9, (7-(AA$24-3-$I254))/6*1/3, TRUE, 0)) *
IF(ISNUMBER(SEARCH("Ordinance",$L254)),7/6,1) *
IF(OR(ISNUMBER(SEARCH("Melee",$L254)),ISNUMBER(SEARCH("Bypass",$L254))),1.5,1)</f>
        <v>0.46666666666666662</v>
      </c>
      <c r="AB254" s="17" cm="1">
        <f t="array" ref="AB254">$H254 *
IF(ISNUMBER(SEARCH("Rapid",$L254)),7/6,1) *
IF(OR(ISNUMBER(SEARCH("Beam",$L254)),ISNUMBER(SEARCH("Firestorm",$L254))),1, IF(ISNUMBER(SEARCH("Blast",$L254)),(4+$F254+(2-$F254)*0.5)/6*2,(4+$F254)/6)) *
IF(ISNUMBER(SEARCH("Fusion",$L254)), _xlfn.IFS(AB$24-$I254 &lt;=1, 9/10, AB$24-$I254 &lt;=10,(11-(AB$24-$I254))/10, AB$24-$I254 &gt;=11, 0),
_xlfn.IFS(AB$24-$I254 &lt;=1, 5/6, AB$24-$I254 &lt;=5, (7-(AB$24-$I254))/6, AND(AB$24-$I254 =6,NOT(_xlfn.IFNA(ISNUMBER(SEARCH("Rending",$L254)),FALSE))), (7-(AB$24-$I254))/6, AND(AB$24-$I254 &gt;=7,NOT(_xlfn.IFNA(ISNUMBER(SEARCH("Rending",$L254)),FALSE))), 0, AB$24-$I254 =7, (7-(AB$24-1-$I254))/6, AB$24-$I254 =8, (7-(AB$24-2-$I254))/6*2/3, AB$24-$I254 =9, (7-(AB$24-3-$I254))/6*1/3, TRUE, 0)) *
IF(ISNUMBER(SEARCH("Ordinance",$L254)),7/6,1) *
IF(OR(ISNUMBER(SEARCH("Melee",$L254)),ISNUMBER(SEARCH("Bypass",$L254))),1.5,1)</f>
        <v>0.39999999999999997</v>
      </c>
      <c r="AC254" s="17" cm="1">
        <f t="array" ref="AC254">$H254 *
IF(ISNUMBER(SEARCH("Rapid",$L254)),7/6,1) *
IF(OR(ISNUMBER(SEARCH("Beam",$L254)),ISNUMBER(SEARCH("Firestorm",$L254))),1, IF(ISNUMBER(SEARCH("Blast",$L254)),(4+$F254+(2-$F254)*0.5)/6*2,(4+$F254)/6)) *
IF(ISNUMBER(SEARCH("Fusion",$L254)), _xlfn.IFS(AC$24-$I254 &lt;=1, 9/10, AC$24-$I254 &lt;=10,(11-(AC$24-$I254))/10, AC$24-$I254 &gt;=11, 0),
_xlfn.IFS(AC$24-$I254 &lt;=1, 5/6, AC$24-$I254 &lt;=5, (7-(AC$24-$I254))/6, AND(AC$24-$I254 =6,NOT(_xlfn.IFNA(ISNUMBER(SEARCH("Rending",$L254)),FALSE))), (7-(AC$24-$I254))/6, AND(AC$24-$I254 &gt;=7,NOT(_xlfn.IFNA(ISNUMBER(SEARCH("Rending",$L254)),FALSE))), 0, AC$24-$I254 =7, (7-(AC$24-1-$I254))/6, AC$24-$I254 =8, (7-(AC$24-2-$I254))/6*2/3, AC$24-$I254 =9, (7-(AC$24-3-$I254))/6*1/3, TRUE, 0)) *
IF(ISNUMBER(SEARCH("Ordinance",$L254)),7/6,1) *
IF(OR(ISNUMBER(SEARCH("Melee",$L254)),ISNUMBER(SEARCH("Bypass",$L254))),1.5,1)</f>
        <v>0.33333333333333331</v>
      </c>
      <c r="AD254" s="17" cm="1">
        <f t="array" ref="AD254">$H254 *
IF(ISNUMBER(SEARCH("Rapid",$L254)),7/6,1) *
IF(OR(ISNUMBER(SEARCH("Beam",$L254)),ISNUMBER(SEARCH("Firestorm",$L254))),1, IF(ISNUMBER(SEARCH("Blast",$L254)),(4+$F254+(2-$F254)*0.5)/6*2,(4+$F254)/6)) *
IF(ISNUMBER(SEARCH("Fusion",$L254)), _xlfn.IFS(AD$24-$I254 &lt;=1, 9/10, AD$24-$I254 &lt;=10,(11-(AD$24-$I254))/10, AD$24-$I254 &gt;=11, 0),
_xlfn.IFS(AD$24-$I254 &lt;=1, 5/6, AD$24-$I254 &lt;=5, (7-(AD$24-$I254))/6, AND(AD$24-$I254 =6,NOT(_xlfn.IFNA(ISNUMBER(SEARCH("Rending",$L254)),FALSE))), (7-(AD$24-$I254))/6, AND(AD$24-$I254 &gt;=7,NOT(_xlfn.IFNA(ISNUMBER(SEARCH("Rending",$L254)),FALSE))), 0, AD$24-$I254 =7, (7-(AD$24-1-$I254))/6, AD$24-$I254 =8, (7-(AD$24-2-$I254))/6*2/3, AD$24-$I254 =9, (7-(AD$24-3-$I254))/6*1/3, TRUE, 0)) *
IF(ISNUMBER(SEARCH("Ordinance",$L254)),7/6,1) *
IF(OR(ISNUMBER(SEARCH("Melee",$L254)),ISNUMBER(SEARCH("Bypass",$L254))),1.5,1)</f>
        <v>0.26666666666666666</v>
      </c>
      <c r="AE254" s="17" cm="1">
        <f t="array" ref="AE254">$H254 *
IF(ISNUMBER(SEARCH("Rapid",$L254)),7/6,1) *
IF(OR(ISNUMBER(SEARCH("Beam",$L254)),ISNUMBER(SEARCH("Firestorm",$L254))),1, IF(ISNUMBER(SEARCH("Blast",$L254)),(4+$F254+(2-$F254)*0.5)/6*2,(4+$F254)/6)) *
IF(ISNUMBER(SEARCH("Fusion",$L254)), _xlfn.IFS(AE$24-$I254 &lt;=1, 9/10, AE$24-$I254 &lt;=10,(11-(AE$24-$I254))/10, AE$24-$I254 &gt;=11, 0),
_xlfn.IFS(AE$24-$I254 &lt;=1, 5/6, AE$24-$I254 &lt;=5, (7-(AE$24-$I254))/6, AND(AE$24-$I254 =6,NOT(_xlfn.IFNA(ISNUMBER(SEARCH("Rending",$L254)),FALSE))), (7-(AE$24-$I254))/6, AND(AE$24-$I254 &gt;=7,NOT(_xlfn.IFNA(ISNUMBER(SEARCH("Rending",$L254)),FALSE))), 0, AE$24-$I254 =7, (7-(AE$24-1-$I254))/6, AE$24-$I254 =8, (7-(AE$24-2-$I254))/6*2/3, AE$24-$I254 =9, (7-(AE$24-3-$I254))/6*1/3, TRUE, 0)) *
IF(ISNUMBER(SEARCH("Ordinance",$L254)),7/6,1) *
IF(OR(ISNUMBER(SEARCH("Melee",$L254)),ISNUMBER(SEARCH("Bypass",$L254))),1.5,1)</f>
        <v>0.19999999999999998</v>
      </c>
      <c r="AF254" s="17" cm="1">
        <f t="array" ref="AF254">$H254 *
IF(ISNUMBER(SEARCH("Rapid",$L254)),7/6,1) *
IF(OR(ISNUMBER(SEARCH("Beam",$L254)),ISNUMBER(SEARCH("Firestorm",$L254))),1, IF(ISNUMBER(SEARCH("Blast",$L254)),(4+$F254+(2-$F254)*0.5)/6*2,(4+$F254)/6)) *
IF(ISNUMBER(SEARCH("Fusion",$L254)), _xlfn.IFS(AF$24-$I254 &lt;=1, 9/10, AF$24-$I254 &lt;=10,(11-(AF$24-$I254))/10, AF$24-$I254 &gt;=11, 0),
_xlfn.IFS(AF$24-$I254 &lt;=1, 5/6, AF$24-$I254 &lt;=5, (7-(AF$24-$I254))/6, AND(AF$24-$I254 =6,NOT(_xlfn.IFNA(ISNUMBER(SEARCH("Rending",$L254)),FALSE))), (7-(AF$24-$I254))/6, AND(AF$24-$I254 &gt;=7,NOT(_xlfn.IFNA(ISNUMBER(SEARCH("Rending",$L254)),FALSE))), 0, AF$24-$I254 =7, (7-(AF$24-1-$I254))/6, AF$24-$I254 =8, (7-(AF$24-2-$I254))/6*2/3, AF$24-$I254 =9, (7-(AF$24-3-$I254))/6*1/3, TRUE, 0)) *
IF(ISNUMBER(SEARCH("Ordinance",$L254)),7/6,1) *
IF(OR(ISNUMBER(SEARCH("Melee",$L254)),ISNUMBER(SEARCH("Bypass",$L254))),1.5,1)</f>
        <v>0.13333333333333333</v>
      </c>
      <c r="AG254" s="16">
        <f t="shared" si="67"/>
        <v>0.16666666666666666</v>
      </c>
      <c r="AH254" s="16">
        <f t="shared" si="68"/>
        <v>0.25</v>
      </c>
      <c r="AI254" s="17" cm="1">
        <f t="array" ref="AI254">$H254 *
IF(ISNUMBER(SEARCH("Rapid",$L254)),7/6,1) *
IF(OR(ISNUMBER(SEARCH("Beam",$L254)),ISNUMBER(SEARCH("Firestorm",$L254))),1, IF(ISNUMBER(SEARCH("Blast",$L254)),(4+$G254+(2-$G254)*0.5)/6*2,(4+$G254)/6)) *
_xlfn.IFS(AI$24-$I254 &lt;=1, 5/6, AI$24-$I254 &lt;=5, (7-(AI$24-$I254))/6, AND(AI$24-$I254 =6,NOT(_xlfn.IFNA(ISNUMBER(SEARCH("Rending",$L254)),FALSE))), (7-(AI$24-$I254))/6, AND(AI$24-$I254 &gt;=7,NOT(_xlfn.IFNA(ISNUMBER(SEARCH("Rending",$L254)),FALSE))), 0, AI$24-$I254 =7, (7-(AI$24-1-$I254))/6, AI$24-$I254 =8, (7-(AI$24-2-$I254))/6*2/3, AI$24-$I254 =9, (7-(AI$24-3-$I254))/6*1/3, TRUE, 0) *
IF(ISNUMBER(SEARCH("Ordinance",$L254)),7/6,1) *
IF(OR(ISNUMBER(SEARCH("Melee",$L254)),ISNUMBER(SEARCH("Bypass",$L254))),1.5,1)</f>
        <v>0.41666666666666669</v>
      </c>
      <c r="AJ254" s="17" cm="1">
        <f t="array" ref="AJ254">$H254 *
IF(ISNUMBER(SEARCH("Rapid",$L254)),7/6,1) *
IF(OR(ISNUMBER(SEARCH("Beam",$L254)),ISNUMBER(SEARCH("Firestorm",$L254))),1, IF(ISNUMBER(SEARCH("Blast",$L254)),(4+$G254+(2-$G254)*0.5)/6*2,(4+$G254)/6)) *
_xlfn.IFS(AJ$24-$I254 &lt;=1, 5/6, AJ$24-$I254 &lt;=5, (7-(AJ$24-$I254))/6, AND(AJ$24-$I254 =6,NOT(_xlfn.IFNA(ISNUMBER(SEARCH("Rending",$L254)),FALSE))), (7-(AJ$24-$I254))/6, AND(AJ$24-$I254 &gt;=7,NOT(_xlfn.IFNA(ISNUMBER(SEARCH("Rending",$L254)),FALSE))), 0, AJ$24-$I254 =7, (7-(AJ$24-1-$I254))/6, AJ$24-$I254 =8, (7-(AJ$24-2-$I254))/6*2/3, AJ$24-$I254 =9, (7-(AJ$24-3-$I254))/6*1/3, TRUE, 0) *
IF(ISNUMBER(SEARCH("Ordinance",$L254)),7/6,1) *
IF(OR(ISNUMBER(SEARCH("Melee",$L254)),ISNUMBER(SEARCH("Bypass",$L254))),1.5,1)</f>
        <v>0.41666666666666669</v>
      </c>
      <c r="AK254" s="17" cm="1">
        <f t="array" ref="AK254">$H254 *
IF(ISNUMBER(SEARCH("Rapid",$L254)),7/6,1) *
IF(OR(ISNUMBER(SEARCH("Beam",$L254)),ISNUMBER(SEARCH("Firestorm",$L254))),1, IF(ISNUMBER(SEARCH("Blast",$L254)),(4+$G254+(2-$G254)*0.5)/6*2,(4+$G254)/6)) *
_xlfn.IFS(AK$24-$I254 &lt;=1, 5/6, AK$24-$I254 &lt;=5, (7-(AK$24-$I254))/6, AND(AK$24-$I254 =6,NOT(_xlfn.IFNA(ISNUMBER(SEARCH("Rending",$L254)),FALSE))), (7-(AK$24-$I254))/6, AND(AK$24-$I254 &gt;=7,NOT(_xlfn.IFNA(ISNUMBER(SEARCH("Rending",$L254)),FALSE))), 0, AK$24-$I254 =7, (7-(AK$24-1-$I254))/6, AK$24-$I254 =8, (7-(AK$24-2-$I254))/6*2/3, AK$24-$I254 =9, (7-(AK$24-3-$I254))/6*1/3, TRUE, 0) *
IF(ISNUMBER(SEARCH("Ordinance",$L254)),7/6,1) *
IF(OR(ISNUMBER(SEARCH("Melee",$L254)),ISNUMBER(SEARCH("Bypass",$L254))),1.5,1)</f>
        <v>0.33333333333333331</v>
      </c>
      <c r="AL254" s="17" cm="1">
        <f t="array" ref="AL254">$H254 *
IF(ISNUMBER(SEARCH("Rapid",$L254)),7/6,1) *
IF(OR(ISNUMBER(SEARCH("Beam",$L254)),ISNUMBER(SEARCH("Firestorm",$L254))),1, IF(ISNUMBER(SEARCH("Blast",$L254)),(4+$G254+(2-$G254)*0.5)/6*2,(4+$G254)/6)) *
_xlfn.IFS(AL$24-$I254 &lt;=1, 5/6, AL$24-$I254 &lt;=5, (7-(AL$24-$I254))/6, AND(AL$24-$I254 =6,NOT(_xlfn.IFNA(ISNUMBER(SEARCH("Rending",$L254)),FALSE))), (7-(AL$24-$I254))/6, AND(AL$24-$I254 &gt;=7,NOT(_xlfn.IFNA(ISNUMBER(SEARCH("Rending",$L254)),FALSE))), 0, AL$24-$I254 =7, (7-(AL$24-1-$I254))/6, AL$24-$I254 =8, (7-(AL$24-2-$I254))/6*2/3, AL$24-$I254 =9, (7-(AL$24-3-$I254))/6*1/3, TRUE, 0) *
IF(ISNUMBER(SEARCH("Ordinance",$L254)),7/6,1) *
IF(OR(ISNUMBER(SEARCH("Melee",$L254)),ISNUMBER(SEARCH("Bypass",$L254))),1.5,1)</f>
        <v>0.25</v>
      </c>
      <c r="AM254" s="17" cm="1">
        <f t="array" ref="AM254">$H254 *
IF(ISNUMBER(SEARCH("Rapid",$L254)),7/6,1) *
IF(OR(ISNUMBER(SEARCH("Beam",$L254)),ISNUMBER(SEARCH("Firestorm",$L254))),1, IF(ISNUMBER(SEARCH("Blast",$L254)),(4+$G254+(2-$G254)*0.5)/6*2,(4+$G254)/6)) *
_xlfn.IFS(AM$24-$I254 &lt;=1, 5/6, AM$24-$I254 &lt;=5, (7-(AM$24-$I254))/6, AND(AM$24-$I254 =6,NOT(_xlfn.IFNA(ISNUMBER(SEARCH("Rending",$L254)),FALSE))), (7-(AM$24-$I254))/6, AND(AM$24-$I254 &gt;=7,NOT(_xlfn.IFNA(ISNUMBER(SEARCH("Rending",$L254)),FALSE))), 0, AM$24-$I254 =7, (7-(AM$24-1-$I254))/6, AM$24-$I254 =8, (7-(AM$24-2-$I254))/6*2/3, AM$24-$I254 =9, (7-(AM$24-3-$I254))/6*1/3, TRUE, 0) *
IF(ISNUMBER(SEARCH("Ordinance",$L254)),7/6,1) *
IF(OR(ISNUMBER(SEARCH("Melee",$L254)),ISNUMBER(SEARCH("Bypass",$L254))),1.5,1)</f>
        <v>0.16666666666666666</v>
      </c>
      <c r="AN254" s="17" cm="1">
        <f t="array" ref="AN254">$H254 *
IF(ISNUMBER(SEARCH("Rapid",$L254)),7/6,1) *
IF(OR(ISNUMBER(SEARCH("Beam",$L254)),ISNUMBER(SEARCH("Firestorm",$L254))),1, IF(ISNUMBER(SEARCH("Blast",$L254)),(4+$G254+(2-$G254)*0.5)/6*2,(4+$G254)/6)) *
_xlfn.IFS(AN$24-$I254 &lt;=1, 5/6, AN$24-$I254 &lt;=5, (7-(AN$24-$I254))/6, AND(AN$24-$I254 =6,NOT(_xlfn.IFNA(ISNUMBER(SEARCH("Rending",$L254)),FALSE))), (7-(AN$24-$I254))/6, AND(AN$24-$I254 &gt;=7,NOT(_xlfn.IFNA(ISNUMBER(SEARCH("Rending",$L254)),FALSE))), 0, AN$24-$I254 =7, (7-(AN$24-1-$I254))/6, AN$24-$I254 =8, (7-(AN$24-2-$I254))/6*2/3, AN$24-$I254 =9, (7-(AN$24-3-$I254))/6*1/3, TRUE, 0) *
IF(ISNUMBER(SEARCH("Ordinance",$L254)),7/6,1) *
IF(OR(ISNUMBER(SEARCH("Melee",$L254)),ISNUMBER(SEARCH("Bypass",$L254))),1.5,1)</f>
        <v>8.3333333333333329E-2</v>
      </c>
      <c r="AO254" s="17" cm="1">
        <f t="array" ref="AO254">$H254 *
IF(ISNUMBER(SEARCH("Rapid",$L254)),7/6,1) *
IF(OR(ISNUMBER(SEARCH("Beam",$L254)),ISNUMBER(SEARCH("Firestorm",$L254))),1, IF(ISNUMBER(SEARCH("Blast",$L254)),(4+$G254+(2-$G254)*0.5)/6*2,(4+$G254)/6)) *
_xlfn.IFS(AO$24-$I254 &lt;=1, 5/6, AO$24-$I254 &lt;=5, (7-(AO$24-$I254))/6, AND(AO$24-$I254 =6,NOT(_xlfn.IFNA(ISNUMBER(SEARCH("Rending",$L254)),FALSE))), (7-(AO$24-$I254))/6, AND(AO$24-$I254 &gt;=7,NOT(_xlfn.IFNA(ISNUMBER(SEARCH("Rending",$L254)),FALSE))), 0, AO$24-$I254 =7, (7-(AO$24-1-$I254))/6, AO$24-$I254 =8, (7-(AO$24-2-$I254))/6*2/3, AO$24-$I254 =9, (7-(AO$24-3-$I254))/6*1/3, TRUE, 0) *
IF(ISNUMBER(SEARCH("Ordinance",$L254)),7/6,1) *
IF(OR(ISNUMBER(SEARCH("Melee",$L254)),ISNUMBER(SEARCH("Bypass",$L254))),1.5,1)</f>
        <v>0</v>
      </c>
      <c r="AP254" s="17" cm="1">
        <f t="array" ref="AP254">$H254 *
IF(ISNUMBER(SEARCH("Rapid",$L254)),7/6,1) *
IF(OR(ISNUMBER(SEARCH("Beam",$L254)),ISNUMBER(SEARCH("Firestorm",$L254))),1, IF(ISNUMBER(SEARCH("Blast",$L254)),(4+$G254+(2-$G254)*0.5)/6*2,(4+$G254)/6)) *
_xlfn.IFS(AP$24-$I254 &lt;=1, 5/6, AP$24-$I254 &lt;=5, (7-(AP$24-$I254))/6, AND(AP$24-$I254 =6,NOT(_xlfn.IFNA(ISNUMBER(SEARCH("Rending",$L254)),FALSE))), (7-(AP$24-$I254))/6, AND(AP$24-$I254 &gt;=7,NOT(_xlfn.IFNA(ISNUMBER(SEARCH("Rending",$L254)),FALSE))), 0, AP$24-$I254 =7, (7-(AP$24-1-$I254))/6, AP$24-$I254 =8, (7-(AP$24-2-$I254))/6*2/3, AP$24-$I254 =9, (7-(AP$24-3-$I254))/6*1/3, TRUE, 0) *
IF(ISNUMBER(SEARCH("Ordinance",$L254)),7/6,1) *
IF(OR(ISNUMBER(SEARCH("Melee",$L254)),ISNUMBER(SEARCH("Bypass",$L254))),1.5,1)</f>
        <v>0</v>
      </c>
      <c r="AQ254" s="17" cm="1">
        <f t="array" ref="AQ254">$H254 *
IF(ISNUMBER(SEARCH("Rapid",$L254)),7/6,1) *
IF(OR(ISNUMBER(SEARCH("Beam",$L254)),ISNUMBER(SEARCH("Firestorm",$L254))),1, IF(ISNUMBER(SEARCH("Blast",$L254)),(4+$G254+(2-$G254)*0.5)/6*2,(4+$G254)/6)) *
_xlfn.IFS(AQ$24-$I254 &lt;=1, 5/6, AQ$24-$I254 &lt;=5, (7-(AQ$24-$I254))/6, AND(AQ$24-$I254 =6,NOT(_xlfn.IFNA(ISNUMBER(SEARCH("Rending",$L254)),FALSE))), (7-(AQ$24-$I254))/6, AND(AQ$24-$I254 &gt;=7,NOT(_xlfn.IFNA(ISNUMBER(SEARCH("Rending",$L254)),FALSE))), 0, AQ$24-$I254 =7, (7-(AQ$24-1-$I254))/6, AQ$24-$I254 =8, (7-(AQ$24-2-$I254))/6*2/3, AQ$24-$I254 =9, (7-(AQ$24-3-$I254))/6*1/3, TRUE, 0) *
IF(ISNUMBER(SEARCH("Ordinance",$L254)),7/6,1) *
IF(OR(ISNUMBER(SEARCH("Melee",$L254)),ISNUMBER(SEARCH("Bypass",$L254))),1.5,1)</f>
        <v>0</v>
      </c>
      <c r="AS254" s="16">
        <f t="shared" si="72"/>
        <v>6.1111111111111116E-2</v>
      </c>
      <c r="AT254" s="16">
        <f t="shared" si="73"/>
        <v>9.1666666666666674E-2</v>
      </c>
      <c r="AU254" s="16">
        <f t="shared" si="74"/>
        <v>0.13999999999999999</v>
      </c>
      <c r="AV254" s="2">
        <v>11</v>
      </c>
    </row>
    <row r="255" spans="1:48" x14ac:dyDescent="0.3">
      <c r="A255" t="s">
        <v>816</v>
      </c>
      <c r="B255" s="3">
        <v>6</v>
      </c>
      <c r="C255" s="3">
        <v>10</v>
      </c>
      <c r="F255" s="10"/>
      <c r="G255" s="10">
        <v>-1</v>
      </c>
      <c r="H255" s="3">
        <v>3</v>
      </c>
      <c r="I255" s="3">
        <v>8</v>
      </c>
      <c r="J255" s="3" t="s">
        <v>821</v>
      </c>
      <c r="K255" s="3">
        <v>25</v>
      </c>
      <c r="L255" s="3" t="s">
        <v>481</v>
      </c>
      <c r="V255" s="16">
        <f t="shared" si="65"/>
        <v>0.66666666666666663</v>
      </c>
      <c r="W255" s="16">
        <f t="shared" si="66"/>
        <v>1</v>
      </c>
      <c r="X255" s="17" cm="1">
        <f t="array" ref="X255">$H255 *
IF(ISNUMBER(SEARCH("Rapid",$L255)),7/6,1) *
IF(OR(ISNUMBER(SEARCH("Beam",$L255)),ISNUMBER(SEARCH("Firestorm",$L255))),1, IF(ISNUMBER(SEARCH("Blast",$L255)),(4+$F255+(2-$F255)*0.5)/6*2,(4+$F255)/6)) *
IF(ISNUMBER(SEARCH("Fusion",$L255)), _xlfn.IFS(X$24-$I255 &lt;=1, 9/10, X$24-$I255 &lt;=10,(11-(X$24-$I255))/10, X$24-$I255 &gt;=11, 0),
_xlfn.IFS(X$24-$I255 &lt;=1, 5/6, X$24-$I255 &lt;=5, (7-(X$24-$I255))/6, AND(X$24-$I255 =6,NOT(_xlfn.IFNA(ISNUMBER(SEARCH("Rending",$L255)),FALSE))), (7-(X$24-$I255))/6, AND(X$24-$I255 &gt;=7,NOT(_xlfn.IFNA(ISNUMBER(SEARCH("Rending",$L255)),FALSE))), 0, X$24-$I255 =7, (7-(X$24-1-$I255))/6, X$24-$I255 =8, (7-(X$24-2-$I255))/6*2/3, X$24-$I255 =9, (7-(X$24-3-$I255))/6*1/3, TRUE, 0)) *
IF(ISNUMBER(SEARCH("Ordinance",$L255)),7/6,1) *
IF(OR(ISNUMBER(SEARCH("Melee",$L255)),ISNUMBER(SEARCH("Bypass",$L255))),1.5,1)</f>
        <v>1.8</v>
      </c>
      <c r="Y255" s="17" cm="1">
        <f t="array" ref="Y255">$H255 *
IF(ISNUMBER(SEARCH("Rapid",$L255)),7/6,1) *
IF(OR(ISNUMBER(SEARCH("Beam",$L255)),ISNUMBER(SEARCH("Firestorm",$L255))),1, IF(ISNUMBER(SEARCH("Blast",$L255)),(4+$F255+(2-$F255)*0.5)/6*2,(4+$F255)/6)) *
IF(ISNUMBER(SEARCH("Fusion",$L255)), _xlfn.IFS(Y$24-$I255 &lt;=1, 9/10, Y$24-$I255 &lt;=10,(11-(Y$24-$I255))/10, Y$24-$I255 &gt;=11, 0),
_xlfn.IFS(Y$24-$I255 &lt;=1, 5/6, Y$24-$I255 &lt;=5, (7-(Y$24-$I255))/6, AND(Y$24-$I255 =6,NOT(_xlfn.IFNA(ISNUMBER(SEARCH("Rending",$L255)),FALSE))), (7-(Y$24-$I255))/6, AND(Y$24-$I255 &gt;=7,NOT(_xlfn.IFNA(ISNUMBER(SEARCH("Rending",$L255)),FALSE))), 0, Y$24-$I255 =7, (7-(Y$24-1-$I255))/6, Y$24-$I255 =8, (7-(Y$24-2-$I255))/6*2/3, Y$24-$I255 =9, (7-(Y$24-3-$I255))/6*1/3, TRUE, 0)) *
IF(ISNUMBER(SEARCH("Ordinance",$L255)),7/6,1) *
IF(OR(ISNUMBER(SEARCH("Melee",$L255)),ISNUMBER(SEARCH("Bypass",$L255))),1.5,1)</f>
        <v>1.8</v>
      </c>
      <c r="Z255" s="17" cm="1">
        <f t="array" ref="Z255">$H255 *
IF(ISNUMBER(SEARCH("Rapid",$L255)),7/6,1) *
IF(OR(ISNUMBER(SEARCH("Beam",$L255)),ISNUMBER(SEARCH("Firestorm",$L255))),1, IF(ISNUMBER(SEARCH("Blast",$L255)),(4+$F255+(2-$F255)*0.5)/6*2,(4+$F255)/6)) *
IF(ISNUMBER(SEARCH("Fusion",$L255)), _xlfn.IFS(Z$24-$I255 &lt;=1, 9/10, Z$24-$I255 &lt;=10,(11-(Z$24-$I255))/10, Z$24-$I255 &gt;=11, 0),
_xlfn.IFS(Z$24-$I255 &lt;=1, 5/6, Z$24-$I255 &lt;=5, (7-(Z$24-$I255))/6, AND(Z$24-$I255 =6,NOT(_xlfn.IFNA(ISNUMBER(SEARCH("Rending",$L255)),FALSE))), (7-(Z$24-$I255))/6, AND(Z$24-$I255 &gt;=7,NOT(_xlfn.IFNA(ISNUMBER(SEARCH("Rending",$L255)),FALSE))), 0, Z$24-$I255 =7, (7-(Z$24-1-$I255))/6, Z$24-$I255 =8, (7-(Z$24-2-$I255))/6*2/3, Z$24-$I255 =9, (7-(Z$24-3-$I255))/6*1/3, TRUE, 0)) *
IF(ISNUMBER(SEARCH("Ordinance",$L255)),7/6,1) *
IF(OR(ISNUMBER(SEARCH("Melee",$L255)),ISNUMBER(SEARCH("Bypass",$L255))),1.5,1)</f>
        <v>1.6</v>
      </c>
      <c r="AA255" s="17" cm="1">
        <f t="array" ref="AA255">$H255 *
IF(ISNUMBER(SEARCH("Rapid",$L255)),7/6,1) *
IF(OR(ISNUMBER(SEARCH("Beam",$L255)),ISNUMBER(SEARCH("Firestorm",$L255))),1, IF(ISNUMBER(SEARCH("Blast",$L255)),(4+$F255+(2-$F255)*0.5)/6*2,(4+$F255)/6)) *
IF(ISNUMBER(SEARCH("Fusion",$L255)), _xlfn.IFS(AA$24-$I255 &lt;=1, 9/10, AA$24-$I255 &lt;=10,(11-(AA$24-$I255))/10, AA$24-$I255 &gt;=11, 0),
_xlfn.IFS(AA$24-$I255 &lt;=1, 5/6, AA$24-$I255 &lt;=5, (7-(AA$24-$I255))/6, AND(AA$24-$I255 =6,NOT(_xlfn.IFNA(ISNUMBER(SEARCH("Rending",$L255)),FALSE))), (7-(AA$24-$I255))/6, AND(AA$24-$I255 &gt;=7,NOT(_xlfn.IFNA(ISNUMBER(SEARCH("Rending",$L255)),FALSE))), 0, AA$24-$I255 =7, (7-(AA$24-1-$I255))/6, AA$24-$I255 =8, (7-(AA$24-2-$I255))/6*2/3, AA$24-$I255 =9, (7-(AA$24-3-$I255))/6*1/3, TRUE, 0)) *
IF(ISNUMBER(SEARCH("Ordinance",$L255)),7/6,1) *
IF(OR(ISNUMBER(SEARCH("Melee",$L255)),ISNUMBER(SEARCH("Bypass",$L255))),1.5,1)</f>
        <v>1.4</v>
      </c>
      <c r="AB255" s="17" cm="1">
        <f t="array" ref="AB255">$H255 *
IF(ISNUMBER(SEARCH("Rapid",$L255)),7/6,1) *
IF(OR(ISNUMBER(SEARCH("Beam",$L255)),ISNUMBER(SEARCH("Firestorm",$L255))),1, IF(ISNUMBER(SEARCH("Blast",$L255)),(4+$F255+(2-$F255)*0.5)/6*2,(4+$F255)/6)) *
IF(ISNUMBER(SEARCH("Fusion",$L255)), _xlfn.IFS(AB$24-$I255 &lt;=1, 9/10, AB$24-$I255 &lt;=10,(11-(AB$24-$I255))/10, AB$24-$I255 &gt;=11, 0),
_xlfn.IFS(AB$24-$I255 &lt;=1, 5/6, AB$24-$I255 &lt;=5, (7-(AB$24-$I255))/6, AND(AB$24-$I255 =6,NOT(_xlfn.IFNA(ISNUMBER(SEARCH("Rending",$L255)),FALSE))), (7-(AB$24-$I255))/6, AND(AB$24-$I255 &gt;=7,NOT(_xlfn.IFNA(ISNUMBER(SEARCH("Rending",$L255)),FALSE))), 0, AB$24-$I255 =7, (7-(AB$24-1-$I255))/6, AB$24-$I255 =8, (7-(AB$24-2-$I255))/6*2/3, AB$24-$I255 =9, (7-(AB$24-3-$I255))/6*1/3, TRUE, 0)) *
IF(ISNUMBER(SEARCH("Ordinance",$L255)),7/6,1) *
IF(OR(ISNUMBER(SEARCH("Melee",$L255)),ISNUMBER(SEARCH("Bypass",$L255))),1.5,1)</f>
        <v>1.2</v>
      </c>
      <c r="AC255" s="17" cm="1">
        <f t="array" ref="AC255">$H255 *
IF(ISNUMBER(SEARCH("Rapid",$L255)),7/6,1) *
IF(OR(ISNUMBER(SEARCH("Beam",$L255)),ISNUMBER(SEARCH("Firestorm",$L255))),1, IF(ISNUMBER(SEARCH("Blast",$L255)),(4+$F255+(2-$F255)*0.5)/6*2,(4+$F255)/6)) *
IF(ISNUMBER(SEARCH("Fusion",$L255)), _xlfn.IFS(AC$24-$I255 &lt;=1, 9/10, AC$24-$I255 &lt;=10,(11-(AC$24-$I255))/10, AC$24-$I255 &gt;=11, 0),
_xlfn.IFS(AC$24-$I255 &lt;=1, 5/6, AC$24-$I255 &lt;=5, (7-(AC$24-$I255))/6, AND(AC$24-$I255 =6,NOT(_xlfn.IFNA(ISNUMBER(SEARCH("Rending",$L255)),FALSE))), (7-(AC$24-$I255))/6, AND(AC$24-$I255 &gt;=7,NOT(_xlfn.IFNA(ISNUMBER(SEARCH("Rending",$L255)),FALSE))), 0, AC$24-$I255 =7, (7-(AC$24-1-$I255))/6, AC$24-$I255 =8, (7-(AC$24-2-$I255))/6*2/3, AC$24-$I255 =9, (7-(AC$24-3-$I255))/6*1/3, TRUE, 0)) *
IF(ISNUMBER(SEARCH("Ordinance",$L255)),7/6,1) *
IF(OR(ISNUMBER(SEARCH("Melee",$L255)),ISNUMBER(SEARCH("Bypass",$L255))),1.5,1)</f>
        <v>1</v>
      </c>
      <c r="AD255" s="17" cm="1">
        <f t="array" ref="AD255">$H255 *
IF(ISNUMBER(SEARCH("Rapid",$L255)),7/6,1) *
IF(OR(ISNUMBER(SEARCH("Beam",$L255)),ISNUMBER(SEARCH("Firestorm",$L255))),1, IF(ISNUMBER(SEARCH("Blast",$L255)),(4+$F255+(2-$F255)*0.5)/6*2,(4+$F255)/6)) *
IF(ISNUMBER(SEARCH("Fusion",$L255)), _xlfn.IFS(AD$24-$I255 &lt;=1, 9/10, AD$24-$I255 &lt;=10,(11-(AD$24-$I255))/10, AD$24-$I255 &gt;=11, 0),
_xlfn.IFS(AD$24-$I255 &lt;=1, 5/6, AD$24-$I255 &lt;=5, (7-(AD$24-$I255))/6, AND(AD$24-$I255 =6,NOT(_xlfn.IFNA(ISNUMBER(SEARCH("Rending",$L255)),FALSE))), (7-(AD$24-$I255))/6, AND(AD$24-$I255 &gt;=7,NOT(_xlfn.IFNA(ISNUMBER(SEARCH("Rending",$L255)),FALSE))), 0, AD$24-$I255 =7, (7-(AD$24-1-$I255))/6, AD$24-$I255 =8, (7-(AD$24-2-$I255))/6*2/3, AD$24-$I255 =9, (7-(AD$24-3-$I255))/6*1/3, TRUE, 0)) *
IF(ISNUMBER(SEARCH("Ordinance",$L255)),7/6,1) *
IF(OR(ISNUMBER(SEARCH("Melee",$L255)),ISNUMBER(SEARCH("Bypass",$L255))),1.5,1)</f>
        <v>0.8</v>
      </c>
      <c r="AE255" s="17" cm="1">
        <f t="array" ref="AE255">$H255 *
IF(ISNUMBER(SEARCH("Rapid",$L255)),7/6,1) *
IF(OR(ISNUMBER(SEARCH("Beam",$L255)),ISNUMBER(SEARCH("Firestorm",$L255))),1, IF(ISNUMBER(SEARCH("Blast",$L255)),(4+$F255+(2-$F255)*0.5)/6*2,(4+$F255)/6)) *
IF(ISNUMBER(SEARCH("Fusion",$L255)), _xlfn.IFS(AE$24-$I255 &lt;=1, 9/10, AE$24-$I255 &lt;=10,(11-(AE$24-$I255))/10, AE$24-$I255 &gt;=11, 0),
_xlfn.IFS(AE$24-$I255 &lt;=1, 5/6, AE$24-$I255 &lt;=5, (7-(AE$24-$I255))/6, AND(AE$24-$I255 =6,NOT(_xlfn.IFNA(ISNUMBER(SEARCH("Rending",$L255)),FALSE))), (7-(AE$24-$I255))/6, AND(AE$24-$I255 &gt;=7,NOT(_xlfn.IFNA(ISNUMBER(SEARCH("Rending",$L255)),FALSE))), 0, AE$24-$I255 =7, (7-(AE$24-1-$I255))/6, AE$24-$I255 =8, (7-(AE$24-2-$I255))/6*2/3, AE$24-$I255 =9, (7-(AE$24-3-$I255))/6*1/3, TRUE, 0)) *
IF(ISNUMBER(SEARCH("Ordinance",$L255)),7/6,1) *
IF(OR(ISNUMBER(SEARCH("Melee",$L255)),ISNUMBER(SEARCH("Bypass",$L255))),1.5,1)</f>
        <v>0.6</v>
      </c>
      <c r="AF255" s="17" cm="1">
        <f t="array" ref="AF255">$H255 *
IF(ISNUMBER(SEARCH("Rapid",$L255)),7/6,1) *
IF(OR(ISNUMBER(SEARCH("Beam",$L255)),ISNUMBER(SEARCH("Firestorm",$L255))),1, IF(ISNUMBER(SEARCH("Blast",$L255)),(4+$F255+(2-$F255)*0.5)/6*2,(4+$F255)/6)) *
IF(ISNUMBER(SEARCH("Fusion",$L255)), _xlfn.IFS(AF$24-$I255 &lt;=1, 9/10, AF$24-$I255 &lt;=10,(11-(AF$24-$I255))/10, AF$24-$I255 &gt;=11, 0),
_xlfn.IFS(AF$24-$I255 &lt;=1, 5/6, AF$24-$I255 &lt;=5, (7-(AF$24-$I255))/6, AND(AF$24-$I255 =6,NOT(_xlfn.IFNA(ISNUMBER(SEARCH("Rending",$L255)),FALSE))), (7-(AF$24-$I255))/6, AND(AF$24-$I255 &gt;=7,NOT(_xlfn.IFNA(ISNUMBER(SEARCH("Rending",$L255)),FALSE))), 0, AF$24-$I255 =7, (7-(AF$24-1-$I255))/6, AF$24-$I255 =8, (7-(AF$24-2-$I255))/6*2/3, AF$24-$I255 =9, (7-(AF$24-3-$I255))/6*1/3, TRUE, 0)) *
IF(ISNUMBER(SEARCH("Ordinance",$L255)),7/6,1) *
IF(OR(ISNUMBER(SEARCH("Melee",$L255)),ISNUMBER(SEARCH("Bypass",$L255))),1.5,1)</f>
        <v>0.4</v>
      </c>
      <c r="AG255" s="16">
        <f t="shared" si="67"/>
        <v>0.5</v>
      </c>
      <c r="AH255" s="16">
        <f t="shared" si="68"/>
        <v>0.75</v>
      </c>
      <c r="AI255" s="17" cm="1">
        <f t="array" ref="AI255">$H255 *
IF(ISNUMBER(SEARCH("Rapid",$L255)),7/6,1) *
IF(OR(ISNUMBER(SEARCH("Beam",$L255)),ISNUMBER(SEARCH("Firestorm",$L255))),1, IF(ISNUMBER(SEARCH("Blast",$L255)),(4+$G255+(2-$G255)*0.5)/6*2,(4+$G255)/6)) *
_xlfn.IFS(AI$24-$I255 &lt;=1, 5/6, AI$24-$I255 &lt;=5, (7-(AI$24-$I255))/6, AND(AI$24-$I255 =6,NOT(_xlfn.IFNA(ISNUMBER(SEARCH("Rending",$L255)),FALSE))), (7-(AI$24-$I255))/6, AND(AI$24-$I255 &gt;=7,NOT(_xlfn.IFNA(ISNUMBER(SEARCH("Rending",$L255)),FALSE))), 0, AI$24-$I255 =7, (7-(AI$24-1-$I255))/6, AI$24-$I255 =8, (7-(AI$24-2-$I255))/6*2/3, AI$24-$I255 =9, (7-(AI$24-3-$I255))/6*1/3, TRUE, 0) *
IF(ISNUMBER(SEARCH("Ordinance",$L255)),7/6,1) *
IF(OR(ISNUMBER(SEARCH("Melee",$L255)),ISNUMBER(SEARCH("Bypass",$L255))),1.5,1)</f>
        <v>1.25</v>
      </c>
      <c r="AJ255" s="17" cm="1">
        <f t="array" ref="AJ255">$H255 *
IF(ISNUMBER(SEARCH("Rapid",$L255)),7/6,1) *
IF(OR(ISNUMBER(SEARCH("Beam",$L255)),ISNUMBER(SEARCH("Firestorm",$L255))),1, IF(ISNUMBER(SEARCH("Blast",$L255)),(4+$G255+(2-$G255)*0.5)/6*2,(4+$G255)/6)) *
_xlfn.IFS(AJ$24-$I255 &lt;=1, 5/6, AJ$24-$I255 &lt;=5, (7-(AJ$24-$I255))/6, AND(AJ$24-$I255 =6,NOT(_xlfn.IFNA(ISNUMBER(SEARCH("Rending",$L255)),FALSE))), (7-(AJ$24-$I255))/6, AND(AJ$24-$I255 &gt;=7,NOT(_xlfn.IFNA(ISNUMBER(SEARCH("Rending",$L255)),FALSE))), 0, AJ$24-$I255 =7, (7-(AJ$24-1-$I255))/6, AJ$24-$I255 =8, (7-(AJ$24-2-$I255))/6*2/3, AJ$24-$I255 =9, (7-(AJ$24-3-$I255))/6*1/3, TRUE, 0) *
IF(ISNUMBER(SEARCH("Ordinance",$L255)),7/6,1) *
IF(OR(ISNUMBER(SEARCH("Melee",$L255)),ISNUMBER(SEARCH("Bypass",$L255))),1.5,1)</f>
        <v>1.25</v>
      </c>
      <c r="AK255" s="17" cm="1">
        <f t="array" ref="AK255">$H255 *
IF(ISNUMBER(SEARCH("Rapid",$L255)),7/6,1) *
IF(OR(ISNUMBER(SEARCH("Beam",$L255)),ISNUMBER(SEARCH("Firestorm",$L255))),1, IF(ISNUMBER(SEARCH("Blast",$L255)),(4+$G255+(2-$G255)*0.5)/6*2,(4+$G255)/6)) *
_xlfn.IFS(AK$24-$I255 &lt;=1, 5/6, AK$24-$I255 &lt;=5, (7-(AK$24-$I255))/6, AND(AK$24-$I255 =6,NOT(_xlfn.IFNA(ISNUMBER(SEARCH("Rending",$L255)),FALSE))), (7-(AK$24-$I255))/6, AND(AK$24-$I255 &gt;=7,NOT(_xlfn.IFNA(ISNUMBER(SEARCH("Rending",$L255)),FALSE))), 0, AK$24-$I255 =7, (7-(AK$24-1-$I255))/6, AK$24-$I255 =8, (7-(AK$24-2-$I255))/6*2/3, AK$24-$I255 =9, (7-(AK$24-3-$I255))/6*1/3, TRUE, 0) *
IF(ISNUMBER(SEARCH("Ordinance",$L255)),7/6,1) *
IF(OR(ISNUMBER(SEARCH("Melee",$L255)),ISNUMBER(SEARCH("Bypass",$L255))),1.5,1)</f>
        <v>1</v>
      </c>
      <c r="AL255" s="17" cm="1">
        <f t="array" ref="AL255">$H255 *
IF(ISNUMBER(SEARCH("Rapid",$L255)),7/6,1) *
IF(OR(ISNUMBER(SEARCH("Beam",$L255)),ISNUMBER(SEARCH("Firestorm",$L255))),1, IF(ISNUMBER(SEARCH("Blast",$L255)),(4+$G255+(2-$G255)*0.5)/6*2,(4+$G255)/6)) *
_xlfn.IFS(AL$24-$I255 &lt;=1, 5/6, AL$24-$I255 &lt;=5, (7-(AL$24-$I255))/6, AND(AL$24-$I255 =6,NOT(_xlfn.IFNA(ISNUMBER(SEARCH("Rending",$L255)),FALSE))), (7-(AL$24-$I255))/6, AND(AL$24-$I255 &gt;=7,NOT(_xlfn.IFNA(ISNUMBER(SEARCH("Rending",$L255)),FALSE))), 0, AL$24-$I255 =7, (7-(AL$24-1-$I255))/6, AL$24-$I255 =8, (7-(AL$24-2-$I255))/6*2/3, AL$24-$I255 =9, (7-(AL$24-3-$I255))/6*1/3, TRUE, 0) *
IF(ISNUMBER(SEARCH("Ordinance",$L255)),7/6,1) *
IF(OR(ISNUMBER(SEARCH("Melee",$L255)),ISNUMBER(SEARCH("Bypass",$L255))),1.5,1)</f>
        <v>0.75</v>
      </c>
      <c r="AM255" s="17" cm="1">
        <f t="array" ref="AM255">$H255 *
IF(ISNUMBER(SEARCH("Rapid",$L255)),7/6,1) *
IF(OR(ISNUMBER(SEARCH("Beam",$L255)),ISNUMBER(SEARCH("Firestorm",$L255))),1, IF(ISNUMBER(SEARCH("Blast",$L255)),(4+$G255+(2-$G255)*0.5)/6*2,(4+$G255)/6)) *
_xlfn.IFS(AM$24-$I255 &lt;=1, 5/6, AM$24-$I255 &lt;=5, (7-(AM$24-$I255))/6, AND(AM$24-$I255 =6,NOT(_xlfn.IFNA(ISNUMBER(SEARCH("Rending",$L255)),FALSE))), (7-(AM$24-$I255))/6, AND(AM$24-$I255 &gt;=7,NOT(_xlfn.IFNA(ISNUMBER(SEARCH("Rending",$L255)),FALSE))), 0, AM$24-$I255 =7, (7-(AM$24-1-$I255))/6, AM$24-$I255 =8, (7-(AM$24-2-$I255))/6*2/3, AM$24-$I255 =9, (7-(AM$24-3-$I255))/6*1/3, TRUE, 0) *
IF(ISNUMBER(SEARCH("Ordinance",$L255)),7/6,1) *
IF(OR(ISNUMBER(SEARCH("Melee",$L255)),ISNUMBER(SEARCH("Bypass",$L255))),1.5,1)</f>
        <v>0.5</v>
      </c>
      <c r="AN255" s="17" cm="1">
        <f t="array" ref="AN255">$H255 *
IF(ISNUMBER(SEARCH("Rapid",$L255)),7/6,1) *
IF(OR(ISNUMBER(SEARCH("Beam",$L255)),ISNUMBER(SEARCH("Firestorm",$L255))),1, IF(ISNUMBER(SEARCH("Blast",$L255)),(4+$G255+(2-$G255)*0.5)/6*2,(4+$G255)/6)) *
_xlfn.IFS(AN$24-$I255 &lt;=1, 5/6, AN$24-$I255 &lt;=5, (7-(AN$24-$I255))/6, AND(AN$24-$I255 =6,NOT(_xlfn.IFNA(ISNUMBER(SEARCH("Rending",$L255)),FALSE))), (7-(AN$24-$I255))/6, AND(AN$24-$I255 &gt;=7,NOT(_xlfn.IFNA(ISNUMBER(SEARCH("Rending",$L255)),FALSE))), 0, AN$24-$I255 =7, (7-(AN$24-1-$I255))/6, AN$24-$I255 =8, (7-(AN$24-2-$I255))/6*2/3, AN$24-$I255 =9, (7-(AN$24-3-$I255))/6*1/3, TRUE, 0) *
IF(ISNUMBER(SEARCH("Ordinance",$L255)),7/6,1) *
IF(OR(ISNUMBER(SEARCH("Melee",$L255)),ISNUMBER(SEARCH("Bypass",$L255))),1.5,1)</f>
        <v>0.25</v>
      </c>
      <c r="AO255" s="17" cm="1">
        <f t="array" ref="AO255">$H255 *
IF(ISNUMBER(SEARCH("Rapid",$L255)),7/6,1) *
IF(OR(ISNUMBER(SEARCH("Beam",$L255)),ISNUMBER(SEARCH("Firestorm",$L255))),1, IF(ISNUMBER(SEARCH("Blast",$L255)),(4+$G255+(2-$G255)*0.5)/6*2,(4+$G255)/6)) *
_xlfn.IFS(AO$24-$I255 &lt;=1, 5/6, AO$24-$I255 &lt;=5, (7-(AO$24-$I255))/6, AND(AO$24-$I255 =6,NOT(_xlfn.IFNA(ISNUMBER(SEARCH("Rending",$L255)),FALSE))), (7-(AO$24-$I255))/6, AND(AO$24-$I255 &gt;=7,NOT(_xlfn.IFNA(ISNUMBER(SEARCH("Rending",$L255)),FALSE))), 0, AO$24-$I255 =7, (7-(AO$24-1-$I255))/6, AO$24-$I255 =8, (7-(AO$24-2-$I255))/6*2/3, AO$24-$I255 =9, (7-(AO$24-3-$I255))/6*1/3, TRUE, 0) *
IF(ISNUMBER(SEARCH("Ordinance",$L255)),7/6,1) *
IF(OR(ISNUMBER(SEARCH("Melee",$L255)),ISNUMBER(SEARCH("Bypass",$L255))),1.5,1)</f>
        <v>0</v>
      </c>
      <c r="AP255" s="17" cm="1">
        <f t="array" ref="AP255">$H255 *
IF(ISNUMBER(SEARCH("Rapid",$L255)),7/6,1) *
IF(OR(ISNUMBER(SEARCH("Beam",$L255)),ISNUMBER(SEARCH("Firestorm",$L255))),1, IF(ISNUMBER(SEARCH("Blast",$L255)),(4+$G255+(2-$G255)*0.5)/6*2,(4+$G255)/6)) *
_xlfn.IFS(AP$24-$I255 &lt;=1, 5/6, AP$24-$I255 &lt;=5, (7-(AP$24-$I255))/6, AND(AP$24-$I255 =6,NOT(_xlfn.IFNA(ISNUMBER(SEARCH("Rending",$L255)),FALSE))), (7-(AP$24-$I255))/6, AND(AP$24-$I255 &gt;=7,NOT(_xlfn.IFNA(ISNUMBER(SEARCH("Rending",$L255)),FALSE))), 0, AP$24-$I255 =7, (7-(AP$24-1-$I255))/6, AP$24-$I255 =8, (7-(AP$24-2-$I255))/6*2/3, AP$24-$I255 =9, (7-(AP$24-3-$I255))/6*1/3, TRUE, 0) *
IF(ISNUMBER(SEARCH("Ordinance",$L255)),7/6,1) *
IF(OR(ISNUMBER(SEARCH("Melee",$L255)),ISNUMBER(SEARCH("Bypass",$L255))),1.5,1)</f>
        <v>0</v>
      </c>
      <c r="AQ255" s="17" cm="1">
        <f t="array" ref="AQ255">$H255 *
IF(ISNUMBER(SEARCH("Rapid",$L255)),7/6,1) *
IF(OR(ISNUMBER(SEARCH("Beam",$L255)),ISNUMBER(SEARCH("Firestorm",$L255))),1, IF(ISNUMBER(SEARCH("Blast",$L255)),(4+$G255+(2-$G255)*0.5)/6*2,(4+$G255)/6)) *
_xlfn.IFS(AQ$24-$I255 &lt;=1, 5/6, AQ$24-$I255 &lt;=5, (7-(AQ$24-$I255))/6, AND(AQ$24-$I255 =6,NOT(_xlfn.IFNA(ISNUMBER(SEARCH("Rending",$L255)),FALSE))), (7-(AQ$24-$I255))/6, AND(AQ$24-$I255 &gt;=7,NOT(_xlfn.IFNA(ISNUMBER(SEARCH("Rending",$L255)),FALSE))), 0, AQ$24-$I255 =7, (7-(AQ$24-1-$I255))/6, AQ$24-$I255 =8, (7-(AQ$24-2-$I255))/6*2/3, AQ$24-$I255 =9, (7-(AQ$24-3-$I255))/6*1/3, TRUE, 0) *
IF(ISNUMBER(SEARCH("Ordinance",$L255)),7/6,1) *
IF(OR(ISNUMBER(SEARCH("Melee",$L255)),ISNUMBER(SEARCH("Bypass",$L255))),1.5,1)</f>
        <v>0</v>
      </c>
      <c r="AS255" s="16">
        <f t="shared" si="72"/>
        <v>0.18333333333333335</v>
      </c>
      <c r="AT255" s="16">
        <f t="shared" si="73"/>
        <v>0.27500000000000002</v>
      </c>
      <c r="AU255" s="16">
        <f t="shared" si="74"/>
        <v>0.42</v>
      </c>
      <c r="AV255" s="2">
        <v>11</v>
      </c>
    </row>
    <row r="256" spans="1:48" x14ac:dyDescent="0.3">
      <c r="F256" s="10"/>
      <c r="G256" s="10"/>
    </row>
    <row r="257" spans="1:12" x14ac:dyDescent="0.3">
      <c r="F257" s="10"/>
      <c r="G257" s="10"/>
    </row>
    <row r="258" spans="1:12" x14ac:dyDescent="0.3">
      <c r="F258" s="10"/>
      <c r="G258" s="10"/>
    </row>
    <row r="259" spans="1:12" x14ac:dyDescent="0.3">
      <c r="F259" s="10"/>
      <c r="G259" s="10"/>
    </row>
    <row r="261" spans="1:12" x14ac:dyDescent="0.3">
      <c r="A261" s="6" t="s">
        <v>714</v>
      </c>
    </row>
    <row r="262" spans="1:12" x14ac:dyDescent="0.3">
      <c r="A262" t="s">
        <v>715</v>
      </c>
    </row>
    <row r="263" spans="1:12" x14ac:dyDescent="0.3">
      <c r="A263" t="s">
        <v>716</v>
      </c>
    </row>
    <row r="264" spans="1:12" x14ac:dyDescent="0.3">
      <c r="A264" t="s">
        <v>717</v>
      </c>
    </row>
    <row r="265" spans="1:12" x14ac:dyDescent="0.3">
      <c r="A265" t="s">
        <v>718</v>
      </c>
    </row>
    <row r="266" spans="1:12" x14ac:dyDescent="0.3">
      <c r="A266" t="s">
        <v>719</v>
      </c>
    </row>
    <row r="267" spans="1:12" x14ac:dyDescent="0.3">
      <c r="A267" t="s">
        <v>720</v>
      </c>
    </row>
    <row r="268" spans="1:12" x14ac:dyDescent="0.3">
      <c r="A268" t="s">
        <v>735</v>
      </c>
      <c r="H268" s="3">
        <v>3</v>
      </c>
      <c r="I268" s="3">
        <v>5</v>
      </c>
      <c r="L268" s="3" t="s">
        <v>481</v>
      </c>
    </row>
    <row r="269" spans="1:12" x14ac:dyDescent="0.3">
      <c r="A269" t="s">
        <v>734</v>
      </c>
      <c r="H269" s="3">
        <v>6</v>
      </c>
      <c r="I269" s="3">
        <v>5</v>
      </c>
    </row>
    <row r="270" spans="1:12" x14ac:dyDescent="0.3">
      <c r="A270" t="s">
        <v>721</v>
      </c>
    </row>
    <row r="271" spans="1:12" x14ac:dyDescent="0.3">
      <c r="A271" t="s">
        <v>738</v>
      </c>
    </row>
    <row r="272" spans="1:12" x14ac:dyDescent="0.3">
      <c r="A272" t="s">
        <v>736</v>
      </c>
      <c r="H272" s="3">
        <v>1</v>
      </c>
      <c r="I272" s="3">
        <v>10</v>
      </c>
      <c r="L272" s="3" t="s">
        <v>482</v>
      </c>
    </row>
    <row r="273" spans="1:12" x14ac:dyDescent="0.3">
      <c r="A273" t="s">
        <v>722</v>
      </c>
    </row>
    <row r="274" spans="1:12" x14ac:dyDescent="0.3">
      <c r="A274" t="s">
        <v>723</v>
      </c>
    </row>
    <row r="276" spans="1:12" x14ac:dyDescent="0.3">
      <c r="A276" t="s">
        <v>724</v>
      </c>
      <c r="C276" s="3">
        <v>28</v>
      </c>
      <c r="H276" s="3">
        <v>3</v>
      </c>
      <c r="I276" s="3">
        <v>5</v>
      </c>
    </row>
    <row r="277" spans="1:12" x14ac:dyDescent="0.3">
      <c r="A277" t="s">
        <v>725</v>
      </c>
      <c r="H277" s="3">
        <v>6</v>
      </c>
      <c r="I277" s="3">
        <v>3</v>
      </c>
    </row>
    <row r="278" spans="1:12" x14ac:dyDescent="0.3">
      <c r="A278" t="s">
        <v>726</v>
      </c>
      <c r="C278" s="3">
        <v>24</v>
      </c>
      <c r="H278" s="3">
        <v>1</v>
      </c>
      <c r="I278" s="3">
        <v>6</v>
      </c>
      <c r="L278" s="3" t="s">
        <v>482</v>
      </c>
    </row>
    <row r="279" spans="1:12" x14ac:dyDescent="0.3">
      <c r="A279" t="s">
        <v>732</v>
      </c>
      <c r="H279" s="3">
        <v>1</v>
      </c>
      <c r="I279" s="3">
        <v>4</v>
      </c>
    </row>
    <row r="280" spans="1:12" x14ac:dyDescent="0.3">
      <c r="A280" t="s">
        <v>727</v>
      </c>
    </row>
    <row r="281" spans="1:12" x14ac:dyDescent="0.3">
      <c r="A281" t="s">
        <v>728</v>
      </c>
      <c r="H281" s="3">
        <v>6</v>
      </c>
      <c r="I281" s="3">
        <v>5</v>
      </c>
    </row>
    <row r="282" spans="1:12" x14ac:dyDescent="0.3">
      <c r="A282" t="s">
        <v>729</v>
      </c>
      <c r="C282" s="3">
        <v>24</v>
      </c>
      <c r="H282" s="3">
        <v>12</v>
      </c>
      <c r="I282" s="3">
        <v>3</v>
      </c>
    </row>
    <row r="283" spans="1:12" x14ac:dyDescent="0.3">
      <c r="A283" t="s">
        <v>730</v>
      </c>
      <c r="H283" s="3">
        <v>2</v>
      </c>
      <c r="I283" s="3">
        <v>6</v>
      </c>
      <c r="L283" s="3" t="s">
        <v>482</v>
      </c>
    </row>
    <row r="284" spans="1:12" x14ac:dyDescent="0.3">
      <c r="A284" t="s">
        <v>737</v>
      </c>
      <c r="H284" s="3">
        <v>2</v>
      </c>
      <c r="I284" s="3">
        <v>9</v>
      </c>
      <c r="L284" s="3" t="s">
        <v>482</v>
      </c>
    </row>
    <row r="285" spans="1:12" x14ac:dyDescent="0.3">
      <c r="A285" t="s">
        <v>731</v>
      </c>
      <c r="H285" s="3">
        <v>18</v>
      </c>
      <c r="I285" s="3">
        <v>5</v>
      </c>
    </row>
  </sheetData>
  <mergeCells count="20">
    <mergeCell ref="B23:C23"/>
    <mergeCell ref="F23:G23"/>
    <mergeCell ref="N23:N24"/>
    <mergeCell ref="O23:S23"/>
    <mergeCell ref="H23:H24"/>
    <mergeCell ref="I23:I24"/>
    <mergeCell ref="J23:J24"/>
    <mergeCell ref="K23:K24"/>
    <mergeCell ref="L23:L24"/>
    <mergeCell ref="M23:M24"/>
    <mergeCell ref="E23:E24"/>
    <mergeCell ref="AV23:AV24"/>
    <mergeCell ref="AS23:AS24"/>
    <mergeCell ref="AT23:AT24"/>
    <mergeCell ref="AU23:AU24"/>
    <mergeCell ref="D23:D24"/>
    <mergeCell ref="T23:T24"/>
    <mergeCell ref="U23:U24"/>
    <mergeCell ref="V23:AF23"/>
    <mergeCell ref="AG23:AQ23"/>
  </mergeCells>
  <conditionalFormatting sqref="V2:AF21">
    <cfRule type="cellIs" dxfId="7" priority="9" operator="equal">
      <formula>"S"</formula>
    </cfRule>
    <cfRule type="cellIs" dxfId="6" priority="10" operator="equal">
      <formula>"C"</formula>
    </cfRule>
    <cfRule type="cellIs" dxfId="5" priority="11" operator="equal">
      <formula>"V"</formula>
    </cfRule>
    <cfRule type="cellIs" dxfId="4" priority="12" operator="equal">
      <formula>"D"</formula>
    </cfRule>
  </conditionalFormatting>
  <conditionalFormatting sqref="AI2:AQ21">
    <cfRule type="cellIs" dxfId="3" priority="1" operator="equal">
      <formula>"S"</formula>
    </cfRule>
    <cfRule type="cellIs" dxfId="2" priority="2" operator="equal">
      <formula>"C"</formula>
    </cfRule>
    <cfRule type="cellIs" dxfId="1" priority="3" operator="equal">
      <formula>"V"</formula>
    </cfRule>
    <cfRule type="cellIs" dxfId="0" priority="4" operator="equal">
      <formula>"D"</formula>
    </cfRule>
  </conditionalFormatting>
  <pageMargins left="0.7" right="0.7" top="0.75" bottom="0.75" header="0.3" footer="0.3"/>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A3DF8-D3AA-462F-B44F-8E02C824EA60}">
  <dimension ref="A1:AB79"/>
  <sheetViews>
    <sheetView workbookViewId="0">
      <pane ySplit="1" topLeftCell="A53" activePane="bottomLeft" state="frozen"/>
      <selection activeCell="O1" sqref="O1"/>
      <selection pane="bottomLeft" activeCell="Q50" sqref="Q50"/>
    </sheetView>
  </sheetViews>
  <sheetFormatPr defaultRowHeight="14.4" x14ac:dyDescent="0.3"/>
  <cols>
    <col min="1" max="1" width="18" bestFit="1" customWidth="1"/>
    <col min="2" max="11" width="3.6640625" style="3" customWidth="1"/>
    <col min="13" max="13" width="25.44140625" customWidth="1"/>
    <col min="15" max="15" width="21.6640625" customWidth="1"/>
    <col min="16" max="16" width="8.77734375" style="2"/>
    <col min="18" max="20" width="8.77734375" style="2"/>
    <col min="21" max="21" width="20" customWidth="1"/>
    <col min="22" max="27" width="8.77734375" style="2"/>
  </cols>
  <sheetData>
    <row r="1" spans="1:28" x14ac:dyDescent="0.3">
      <c r="A1" t="s">
        <v>1</v>
      </c>
      <c r="B1" s="3" t="s">
        <v>32</v>
      </c>
      <c r="C1" s="3" t="s">
        <v>16</v>
      </c>
      <c r="D1" s="3" t="s">
        <v>11</v>
      </c>
      <c r="E1" s="3" t="s">
        <v>29</v>
      </c>
      <c r="F1" s="3" t="s">
        <v>154</v>
      </c>
      <c r="G1" s="3" t="s">
        <v>155</v>
      </c>
      <c r="H1" s="3" t="s">
        <v>30</v>
      </c>
      <c r="I1" s="3" t="s">
        <v>156</v>
      </c>
      <c r="J1" s="3" t="s">
        <v>157</v>
      </c>
      <c r="K1" s="3" t="s">
        <v>158</v>
      </c>
      <c r="L1" s="3" t="s">
        <v>159</v>
      </c>
      <c r="O1" s="3" t="s">
        <v>180</v>
      </c>
      <c r="P1" s="3" t="s">
        <v>181</v>
      </c>
      <c r="Q1" s="3" t="s">
        <v>358</v>
      </c>
      <c r="R1" s="3" t="s">
        <v>29</v>
      </c>
      <c r="S1" s="2" t="s">
        <v>399</v>
      </c>
      <c r="T1" s="3" t="s">
        <v>126</v>
      </c>
      <c r="U1" s="3" t="s">
        <v>400</v>
      </c>
      <c r="V1" s="3" t="s">
        <v>514</v>
      </c>
      <c r="W1" s="3" t="s">
        <v>513</v>
      </c>
      <c r="X1" s="3" t="s">
        <v>515</v>
      </c>
      <c r="Y1" s="3" t="s">
        <v>516</v>
      </c>
      <c r="Z1" s="3" t="s">
        <v>184</v>
      </c>
      <c r="AA1" s="3" t="s">
        <v>185</v>
      </c>
      <c r="AB1" s="3" t="s">
        <v>187</v>
      </c>
    </row>
    <row r="2" spans="1:28" x14ac:dyDescent="0.3">
      <c r="A2" t="s">
        <v>0</v>
      </c>
      <c r="B2" s="3">
        <v>20</v>
      </c>
      <c r="C2" s="3">
        <v>4</v>
      </c>
      <c r="D2" s="3">
        <v>3</v>
      </c>
      <c r="E2" s="3">
        <v>8</v>
      </c>
      <c r="F2" s="3">
        <v>8</v>
      </c>
      <c r="G2" s="3">
        <v>50</v>
      </c>
      <c r="H2" s="3">
        <v>4</v>
      </c>
      <c r="I2" s="3">
        <v>10</v>
      </c>
      <c r="J2" s="3">
        <v>2</v>
      </c>
      <c r="K2" s="3">
        <v>2</v>
      </c>
      <c r="L2" s="3">
        <v>2000</v>
      </c>
    </row>
    <row r="3" spans="1:28" x14ac:dyDescent="0.3">
      <c r="A3" t="s">
        <v>2</v>
      </c>
      <c r="B3" s="3">
        <v>18</v>
      </c>
      <c r="C3" s="3">
        <v>4</v>
      </c>
      <c r="D3" s="3">
        <v>3</v>
      </c>
      <c r="E3" s="3">
        <v>8</v>
      </c>
      <c r="F3" s="3">
        <v>8</v>
      </c>
      <c r="G3" s="3">
        <v>70</v>
      </c>
      <c r="H3" s="3">
        <v>4</v>
      </c>
      <c r="I3" s="3">
        <v>10</v>
      </c>
      <c r="J3" s="3">
        <v>2</v>
      </c>
      <c r="K3" s="3">
        <v>4</v>
      </c>
      <c r="L3" s="3">
        <v>3000</v>
      </c>
    </row>
    <row r="4" spans="1:28" x14ac:dyDescent="0.3">
      <c r="A4" t="s">
        <v>3</v>
      </c>
      <c r="B4" s="3">
        <v>15</v>
      </c>
      <c r="C4" s="3">
        <v>4</v>
      </c>
      <c r="D4" s="3">
        <v>3</v>
      </c>
      <c r="E4" s="3">
        <v>8</v>
      </c>
      <c r="F4" s="3">
        <v>8</v>
      </c>
      <c r="G4" s="3">
        <v>100</v>
      </c>
      <c r="H4" s="3">
        <v>3</v>
      </c>
      <c r="I4" s="3">
        <v>10</v>
      </c>
      <c r="J4" s="3">
        <v>2</v>
      </c>
      <c r="K4" s="3">
        <v>6</v>
      </c>
      <c r="L4" s="3">
        <v>3800</v>
      </c>
    </row>
    <row r="5" spans="1:28" x14ac:dyDescent="0.3">
      <c r="A5" t="s">
        <v>4</v>
      </c>
      <c r="B5" s="3">
        <v>12</v>
      </c>
      <c r="C5" s="3">
        <v>4</v>
      </c>
      <c r="D5" s="3">
        <v>3</v>
      </c>
      <c r="E5" s="3">
        <v>9</v>
      </c>
      <c r="F5" s="3">
        <v>9</v>
      </c>
      <c r="G5" s="3">
        <v>120</v>
      </c>
      <c r="H5" s="3">
        <v>4</v>
      </c>
      <c r="I5" s="3">
        <v>10</v>
      </c>
      <c r="J5" s="3">
        <v>2</v>
      </c>
      <c r="K5" s="3">
        <v>8</v>
      </c>
      <c r="L5" s="3">
        <v>5500</v>
      </c>
    </row>
    <row r="11" spans="1:28" x14ac:dyDescent="0.3">
      <c r="A11" t="s">
        <v>1</v>
      </c>
      <c r="B11" s="3" t="s">
        <v>32</v>
      </c>
      <c r="C11" s="3" t="s">
        <v>16</v>
      </c>
      <c r="D11" s="3" t="s">
        <v>11</v>
      </c>
      <c r="E11" s="3" t="s">
        <v>29</v>
      </c>
      <c r="F11" s="3" t="s">
        <v>154</v>
      </c>
      <c r="G11" s="3" t="s">
        <v>155</v>
      </c>
      <c r="H11" s="3" t="s">
        <v>30</v>
      </c>
      <c r="I11" s="3" t="s">
        <v>156</v>
      </c>
      <c r="J11" s="3" t="s">
        <v>157</v>
      </c>
      <c r="K11" s="3" t="s">
        <v>163</v>
      </c>
    </row>
    <row r="12" spans="1:28" x14ac:dyDescent="0.3">
      <c r="A12" t="s">
        <v>160</v>
      </c>
      <c r="B12" s="3">
        <v>30</v>
      </c>
      <c r="C12" s="3">
        <v>3</v>
      </c>
      <c r="D12" s="3">
        <v>3</v>
      </c>
      <c r="E12" s="3">
        <v>9</v>
      </c>
      <c r="F12" s="3">
        <v>9</v>
      </c>
      <c r="G12" s="3">
        <v>32</v>
      </c>
      <c r="H12" s="3">
        <v>4</v>
      </c>
      <c r="I12" s="3">
        <v>10</v>
      </c>
      <c r="J12" s="3">
        <v>3</v>
      </c>
      <c r="K12" s="3">
        <v>4</v>
      </c>
      <c r="L12" s="3">
        <v>1500</v>
      </c>
      <c r="M12" s="69" t="s">
        <v>418</v>
      </c>
      <c r="O12" t="s">
        <v>401</v>
      </c>
      <c r="P12" s="2">
        <v>36</v>
      </c>
      <c r="Q12" t="s">
        <v>403</v>
      </c>
      <c r="R12" s="2">
        <v>8</v>
      </c>
      <c r="S12" s="34" t="s">
        <v>404</v>
      </c>
      <c r="T12" s="2">
        <v>2</v>
      </c>
      <c r="U12" t="s">
        <v>335</v>
      </c>
    </row>
    <row r="13" spans="1:28" x14ac:dyDescent="0.3">
      <c r="L13" s="3"/>
      <c r="M13" s="69"/>
      <c r="O13" t="s">
        <v>405</v>
      </c>
      <c r="P13" s="2">
        <v>60</v>
      </c>
      <c r="Q13" t="s">
        <v>407</v>
      </c>
      <c r="R13" s="2">
        <v>12</v>
      </c>
      <c r="S13" s="34" t="s">
        <v>408</v>
      </c>
      <c r="T13" s="2">
        <v>4</v>
      </c>
    </row>
    <row r="14" spans="1:28" x14ac:dyDescent="0.3">
      <c r="L14" s="3"/>
      <c r="M14" s="69"/>
      <c r="O14" t="s">
        <v>409</v>
      </c>
      <c r="P14" s="2">
        <v>18</v>
      </c>
      <c r="Q14" t="s">
        <v>411</v>
      </c>
      <c r="R14" s="2">
        <v>4</v>
      </c>
      <c r="S14" s="34" t="s">
        <v>412</v>
      </c>
      <c r="T14" s="2">
        <v>1</v>
      </c>
      <c r="U14" t="s">
        <v>413</v>
      </c>
    </row>
    <row r="15" spans="1:28" x14ac:dyDescent="0.3">
      <c r="L15" s="3"/>
      <c r="M15" s="69"/>
      <c r="O15" t="s">
        <v>414</v>
      </c>
      <c r="P15" s="2" t="s">
        <v>415</v>
      </c>
      <c r="Q15" t="s">
        <v>415</v>
      </c>
      <c r="R15" s="2" t="s">
        <v>416</v>
      </c>
      <c r="S15" s="34" t="s">
        <v>412</v>
      </c>
      <c r="T15" s="2">
        <v>3</v>
      </c>
      <c r="U15" t="s">
        <v>417</v>
      </c>
    </row>
    <row r="16" spans="1:28" x14ac:dyDescent="0.3">
      <c r="L16" s="3"/>
      <c r="M16" s="20"/>
      <c r="S16" s="34"/>
    </row>
    <row r="17" spans="1:21" x14ac:dyDescent="0.3">
      <c r="A17" t="s">
        <v>161</v>
      </c>
      <c r="B17" s="3">
        <v>24</v>
      </c>
      <c r="C17" s="3">
        <v>3</v>
      </c>
      <c r="D17" s="3">
        <v>3</v>
      </c>
      <c r="E17" s="3">
        <v>9</v>
      </c>
      <c r="F17" s="3">
        <v>9</v>
      </c>
      <c r="G17" s="3">
        <v>60</v>
      </c>
      <c r="H17" s="3">
        <v>6</v>
      </c>
      <c r="I17" s="3">
        <v>10</v>
      </c>
      <c r="J17" s="3">
        <v>3</v>
      </c>
      <c r="K17" s="3">
        <v>4</v>
      </c>
      <c r="L17" s="3">
        <v>3000</v>
      </c>
      <c r="O17" t="s">
        <v>419</v>
      </c>
      <c r="P17" s="2">
        <v>72</v>
      </c>
      <c r="Q17" t="s">
        <v>421</v>
      </c>
      <c r="R17" s="2">
        <v>16</v>
      </c>
      <c r="S17" s="34" t="s">
        <v>422</v>
      </c>
      <c r="T17" s="2">
        <v>8</v>
      </c>
      <c r="U17" t="s">
        <v>443</v>
      </c>
    </row>
    <row r="18" spans="1:21" x14ac:dyDescent="0.3">
      <c r="O18" t="s">
        <v>423</v>
      </c>
      <c r="P18" s="2">
        <v>120</v>
      </c>
      <c r="Q18" t="s">
        <v>424</v>
      </c>
      <c r="R18" s="2">
        <v>14</v>
      </c>
      <c r="S18" s="34" t="s">
        <v>408</v>
      </c>
      <c r="T18" s="2">
        <v>5</v>
      </c>
    </row>
    <row r="19" spans="1:21" x14ac:dyDescent="0.3">
      <c r="O19" t="s">
        <v>425</v>
      </c>
      <c r="P19" s="2">
        <v>48</v>
      </c>
      <c r="Q19" t="s">
        <v>403</v>
      </c>
      <c r="R19" s="2">
        <v>8</v>
      </c>
      <c r="S19" s="34" t="s">
        <v>412</v>
      </c>
      <c r="T19" s="2">
        <v>2</v>
      </c>
    </row>
    <row r="20" spans="1:21" x14ac:dyDescent="0.3">
      <c r="O20" t="s">
        <v>414</v>
      </c>
      <c r="P20" s="2" t="s">
        <v>415</v>
      </c>
      <c r="Q20" t="s">
        <v>415</v>
      </c>
      <c r="R20" s="2" t="s">
        <v>416</v>
      </c>
      <c r="S20" s="34" t="s">
        <v>412</v>
      </c>
      <c r="T20" s="2">
        <v>3</v>
      </c>
      <c r="U20" t="s">
        <v>417</v>
      </c>
    </row>
    <row r="21" spans="1:21" x14ac:dyDescent="0.3">
      <c r="O21" t="s">
        <v>427</v>
      </c>
      <c r="P21" s="2" t="s">
        <v>415</v>
      </c>
      <c r="Q21" t="s">
        <v>415</v>
      </c>
      <c r="R21" s="2" t="s">
        <v>428</v>
      </c>
      <c r="S21" s="34" t="s">
        <v>422</v>
      </c>
      <c r="T21" s="2">
        <v>12</v>
      </c>
      <c r="U21" t="s">
        <v>429</v>
      </c>
    </row>
    <row r="23" spans="1:21" x14ac:dyDescent="0.3">
      <c r="A23" t="s">
        <v>438</v>
      </c>
      <c r="B23" s="3">
        <v>12</v>
      </c>
      <c r="C23" s="3">
        <v>3</v>
      </c>
      <c r="D23" s="3">
        <v>3</v>
      </c>
      <c r="E23" s="3">
        <v>8</v>
      </c>
      <c r="F23" s="3">
        <v>8</v>
      </c>
      <c r="G23" s="3">
        <v>22</v>
      </c>
      <c r="H23" s="3">
        <v>5</v>
      </c>
      <c r="I23" s="3">
        <v>9</v>
      </c>
      <c r="J23" s="3">
        <v>3</v>
      </c>
      <c r="K23" s="3">
        <v>5</v>
      </c>
      <c r="L23" s="3">
        <v>400</v>
      </c>
      <c r="M23" s="4" t="s">
        <v>456</v>
      </c>
      <c r="O23" t="s">
        <v>439</v>
      </c>
      <c r="P23" s="2">
        <v>36</v>
      </c>
      <c r="Q23" t="s">
        <v>440</v>
      </c>
      <c r="R23" s="2">
        <v>16</v>
      </c>
      <c r="S23" s="34" t="s">
        <v>408</v>
      </c>
      <c r="T23" s="2" t="s">
        <v>441</v>
      </c>
      <c r="U23" t="s">
        <v>442</v>
      </c>
    </row>
    <row r="24" spans="1:21" x14ac:dyDescent="0.3">
      <c r="L24">
        <v>460</v>
      </c>
      <c r="M24" t="s">
        <v>457</v>
      </c>
      <c r="O24" t="s">
        <v>444</v>
      </c>
      <c r="P24" s="2">
        <v>48</v>
      </c>
      <c r="Q24" t="s">
        <v>403</v>
      </c>
      <c r="R24" s="2">
        <v>8</v>
      </c>
      <c r="S24" s="34" t="s">
        <v>412</v>
      </c>
      <c r="T24" s="2">
        <v>3</v>
      </c>
      <c r="U24" t="s">
        <v>445</v>
      </c>
    </row>
    <row r="25" spans="1:21" x14ac:dyDescent="0.3">
      <c r="L25">
        <v>450</v>
      </c>
      <c r="M25" t="s">
        <v>458</v>
      </c>
      <c r="O25" t="s">
        <v>446</v>
      </c>
      <c r="P25" s="2" t="s">
        <v>415</v>
      </c>
      <c r="Q25" t="s">
        <v>415</v>
      </c>
      <c r="R25" s="34" t="s">
        <v>447</v>
      </c>
      <c r="S25" s="34" t="s">
        <v>408</v>
      </c>
      <c r="T25" s="2">
        <v>6</v>
      </c>
      <c r="U25" t="s">
        <v>449</v>
      </c>
    </row>
    <row r="26" spans="1:21" x14ac:dyDescent="0.3">
      <c r="P26" s="2" t="s">
        <v>415</v>
      </c>
      <c r="Q26" t="s">
        <v>415</v>
      </c>
      <c r="R26" s="2" t="s">
        <v>448</v>
      </c>
      <c r="S26" s="34" t="s">
        <v>412</v>
      </c>
      <c r="T26" s="2">
        <v>2</v>
      </c>
      <c r="U26" t="s">
        <v>450</v>
      </c>
    </row>
    <row r="29" spans="1:21" x14ac:dyDescent="0.3">
      <c r="A29" t="s">
        <v>162</v>
      </c>
      <c r="B29" s="3">
        <v>12</v>
      </c>
      <c r="C29" s="3">
        <v>3</v>
      </c>
      <c r="D29" s="3">
        <v>3</v>
      </c>
      <c r="E29" s="3">
        <v>8</v>
      </c>
      <c r="F29" s="3">
        <v>8</v>
      </c>
      <c r="G29" s="3">
        <v>24</v>
      </c>
      <c r="H29" s="3">
        <v>4</v>
      </c>
      <c r="I29" s="3">
        <v>9</v>
      </c>
      <c r="J29" s="3">
        <v>3</v>
      </c>
      <c r="L29" s="3">
        <v>465</v>
      </c>
      <c r="M29" s="4" t="s">
        <v>460</v>
      </c>
      <c r="O29" t="s">
        <v>430</v>
      </c>
      <c r="P29" s="2" t="s">
        <v>431</v>
      </c>
      <c r="Q29" t="s">
        <v>403</v>
      </c>
      <c r="R29" s="2">
        <v>7</v>
      </c>
      <c r="S29" s="2">
        <v>0</v>
      </c>
      <c r="T29" s="2">
        <v>1</v>
      </c>
      <c r="U29" t="s">
        <v>433</v>
      </c>
    </row>
    <row r="30" spans="1:21" x14ac:dyDescent="0.3">
      <c r="L30">
        <v>450</v>
      </c>
      <c r="M30" t="s">
        <v>459</v>
      </c>
      <c r="O30" s="4" t="s">
        <v>600</v>
      </c>
      <c r="P30" s="2" t="s">
        <v>426</v>
      </c>
      <c r="Q30" t="s">
        <v>432</v>
      </c>
      <c r="R30" s="2">
        <v>8</v>
      </c>
      <c r="S30" s="34" t="s">
        <v>404</v>
      </c>
      <c r="T30" s="2">
        <v>2</v>
      </c>
      <c r="U30" t="s">
        <v>433</v>
      </c>
    </row>
    <row r="31" spans="1:21" x14ac:dyDescent="0.3">
      <c r="O31" t="s">
        <v>434</v>
      </c>
      <c r="P31" s="2" t="s">
        <v>435</v>
      </c>
      <c r="Q31" t="s">
        <v>432</v>
      </c>
      <c r="R31" s="2">
        <v>8</v>
      </c>
      <c r="S31" s="34" t="s">
        <v>408</v>
      </c>
      <c r="T31" s="2" t="s">
        <v>436</v>
      </c>
      <c r="U31" t="s">
        <v>437</v>
      </c>
    </row>
    <row r="34" spans="1:28" x14ac:dyDescent="0.3">
      <c r="A34" t="s">
        <v>490</v>
      </c>
      <c r="B34" s="3">
        <v>12</v>
      </c>
      <c r="C34" s="3">
        <v>3</v>
      </c>
      <c r="D34" s="3">
        <v>3</v>
      </c>
      <c r="E34" s="3">
        <v>8</v>
      </c>
      <c r="F34" s="3">
        <v>8</v>
      </c>
      <c r="G34" s="3">
        <v>26</v>
      </c>
      <c r="H34" s="3">
        <v>4</v>
      </c>
      <c r="I34" s="3">
        <v>9</v>
      </c>
      <c r="J34" s="3">
        <v>3</v>
      </c>
      <c r="K34" s="3" t="s">
        <v>491</v>
      </c>
      <c r="O34" t="s">
        <v>492</v>
      </c>
      <c r="P34" s="2" t="s">
        <v>402</v>
      </c>
      <c r="Q34" t="s">
        <v>493</v>
      </c>
      <c r="R34" s="2">
        <v>6</v>
      </c>
      <c r="S34" s="34" t="s">
        <v>404</v>
      </c>
      <c r="T34" s="2">
        <v>2</v>
      </c>
      <c r="AA34" s="2">
        <v>3</v>
      </c>
    </row>
    <row r="35" spans="1:28" x14ac:dyDescent="0.3">
      <c r="O35" t="s">
        <v>494</v>
      </c>
      <c r="P35" s="2" t="s">
        <v>415</v>
      </c>
      <c r="Q35" t="s">
        <v>415</v>
      </c>
      <c r="R35" s="2">
        <v>14</v>
      </c>
      <c r="S35" s="34" t="s">
        <v>412</v>
      </c>
      <c r="T35" s="2">
        <v>3</v>
      </c>
      <c r="U35" t="s">
        <v>495</v>
      </c>
      <c r="AA35" s="2">
        <v>7</v>
      </c>
    </row>
    <row r="36" spans="1:28" x14ac:dyDescent="0.3">
      <c r="O36" t="s">
        <v>496</v>
      </c>
      <c r="P36" s="2" t="s">
        <v>410</v>
      </c>
      <c r="Q36" t="s">
        <v>403</v>
      </c>
      <c r="R36" s="2">
        <v>7</v>
      </c>
      <c r="S36" s="34" t="s">
        <v>404</v>
      </c>
      <c r="T36" s="2">
        <v>3</v>
      </c>
      <c r="U36" t="s">
        <v>497</v>
      </c>
      <c r="AA36" s="2">
        <v>7</v>
      </c>
    </row>
    <row r="37" spans="1:28" x14ac:dyDescent="0.3">
      <c r="O37" t="s">
        <v>498</v>
      </c>
      <c r="P37" s="2" t="s">
        <v>415</v>
      </c>
      <c r="Q37" t="s">
        <v>415</v>
      </c>
      <c r="R37" s="2">
        <v>8</v>
      </c>
      <c r="S37" s="34" t="s">
        <v>404</v>
      </c>
      <c r="T37" s="2" t="s">
        <v>499</v>
      </c>
      <c r="U37" t="s">
        <v>500</v>
      </c>
    </row>
    <row r="38" spans="1:28" x14ac:dyDescent="0.3">
      <c r="P38" s="2" t="s">
        <v>415</v>
      </c>
      <c r="Q38" t="s">
        <v>415</v>
      </c>
      <c r="R38" s="2">
        <v>16</v>
      </c>
      <c r="S38" s="34" t="s">
        <v>408</v>
      </c>
      <c r="T38" s="2">
        <v>6</v>
      </c>
      <c r="AA38" s="2">
        <v>7</v>
      </c>
    </row>
    <row r="39" spans="1:28" x14ac:dyDescent="0.3">
      <c r="A39" t="s">
        <v>501</v>
      </c>
      <c r="B39" s="3">
        <v>8</v>
      </c>
      <c r="C39" s="3">
        <v>4</v>
      </c>
      <c r="D39" s="3">
        <v>3</v>
      </c>
      <c r="E39" s="3">
        <v>8</v>
      </c>
      <c r="F39" s="3">
        <v>8</v>
      </c>
      <c r="G39" s="3">
        <v>30</v>
      </c>
      <c r="H39" s="3">
        <v>3</v>
      </c>
      <c r="I39" s="3">
        <v>9</v>
      </c>
      <c r="J39" s="3">
        <v>3</v>
      </c>
      <c r="K39" s="3" t="s">
        <v>491</v>
      </c>
      <c r="L39" s="3">
        <v>780</v>
      </c>
      <c r="M39" t="s">
        <v>511</v>
      </c>
      <c r="O39" t="s">
        <v>502</v>
      </c>
      <c r="P39" s="2" t="s">
        <v>426</v>
      </c>
      <c r="Q39" t="s">
        <v>503</v>
      </c>
      <c r="R39" s="2">
        <v>7</v>
      </c>
      <c r="S39" s="34" t="s">
        <v>504</v>
      </c>
      <c r="T39" s="2">
        <v>2</v>
      </c>
    </row>
    <row r="40" spans="1:28" x14ac:dyDescent="0.3">
      <c r="L40">
        <v>800</v>
      </c>
      <c r="M40" t="s">
        <v>512</v>
      </c>
      <c r="O40" t="s">
        <v>505</v>
      </c>
      <c r="P40" s="2" t="s">
        <v>426</v>
      </c>
      <c r="Q40" t="s">
        <v>506</v>
      </c>
      <c r="R40" s="2">
        <v>9</v>
      </c>
      <c r="S40" s="34" t="s">
        <v>412</v>
      </c>
      <c r="T40" s="2" t="s">
        <v>436</v>
      </c>
    </row>
    <row r="41" spans="1:28" x14ac:dyDescent="0.3">
      <c r="O41" t="s">
        <v>510</v>
      </c>
      <c r="S41" s="34"/>
    </row>
    <row r="42" spans="1:28" x14ac:dyDescent="0.3">
      <c r="O42" t="s">
        <v>507</v>
      </c>
      <c r="P42" s="2" t="s">
        <v>406</v>
      </c>
      <c r="Q42" t="s">
        <v>503</v>
      </c>
      <c r="R42" s="2">
        <v>8</v>
      </c>
      <c r="S42" s="34" t="s">
        <v>404</v>
      </c>
      <c r="T42" s="2">
        <v>3</v>
      </c>
      <c r="U42" s="4" t="s">
        <v>508</v>
      </c>
    </row>
    <row r="43" spans="1:28" x14ac:dyDescent="0.3">
      <c r="O43" t="s">
        <v>509</v>
      </c>
      <c r="P43" s="2" t="s">
        <v>420</v>
      </c>
      <c r="Q43" t="s">
        <v>421</v>
      </c>
      <c r="R43" s="2">
        <v>12</v>
      </c>
      <c r="S43" s="34" t="s">
        <v>412</v>
      </c>
      <c r="T43" s="2">
        <v>6</v>
      </c>
      <c r="U43" t="s">
        <v>445</v>
      </c>
      <c r="AA43" s="2">
        <v>8</v>
      </c>
    </row>
    <row r="45" spans="1:28" x14ac:dyDescent="0.3">
      <c r="O45" t="s">
        <v>174</v>
      </c>
      <c r="P45" s="2">
        <v>24</v>
      </c>
      <c r="Q45" t="s">
        <v>522</v>
      </c>
      <c r="R45" s="2">
        <v>7</v>
      </c>
      <c r="S45" s="34" t="s">
        <v>412</v>
      </c>
      <c r="T45" s="2">
        <v>3</v>
      </c>
      <c r="U45" t="s">
        <v>497</v>
      </c>
      <c r="V45" s="2" t="s">
        <v>519</v>
      </c>
      <c r="Z45" s="2">
        <v>3</v>
      </c>
      <c r="AA45" s="2">
        <v>7</v>
      </c>
      <c r="AB45" t="s">
        <v>520</v>
      </c>
    </row>
    <row r="46" spans="1:28" x14ac:dyDescent="0.3">
      <c r="O46" t="s">
        <v>517</v>
      </c>
      <c r="P46" s="2">
        <v>48</v>
      </c>
      <c r="Q46" t="s">
        <v>523</v>
      </c>
      <c r="R46" s="2">
        <v>6</v>
      </c>
      <c r="S46" s="34" t="s">
        <v>404</v>
      </c>
      <c r="T46" s="2">
        <v>2</v>
      </c>
      <c r="V46" s="2">
        <v>8</v>
      </c>
      <c r="W46" s="2">
        <v>20</v>
      </c>
      <c r="Z46" s="2">
        <v>6</v>
      </c>
      <c r="AA46" s="2">
        <v>4</v>
      </c>
      <c r="AB46" t="s">
        <v>480</v>
      </c>
    </row>
    <row r="47" spans="1:28" x14ac:dyDescent="0.3">
      <c r="O47" t="s">
        <v>518</v>
      </c>
      <c r="P47" s="2">
        <v>72</v>
      </c>
      <c r="Q47" t="s">
        <v>524</v>
      </c>
      <c r="R47" s="2">
        <v>16</v>
      </c>
      <c r="S47" s="34" t="s">
        <v>408</v>
      </c>
      <c r="T47" s="2" t="s">
        <v>525</v>
      </c>
      <c r="U47" s="35" t="s">
        <v>335</v>
      </c>
      <c r="V47" s="2">
        <v>16</v>
      </c>
      <c r="W47" s="2">
        <v>32</v>
      </c>
      <c r="Z47" s="2">
        <v>2</v>
      </c>
      <c r="AA47" s="2">
        <v>8</v>
      </c>
      <c r="AB47" t="s">
        <v>337</v>
      </c>
    </row>
    <row r="48" spans="1:28" x14ac:dyDescent="0.3">
      <c r="O48" t="s">
        <v>176</v>
      </c>
      <c r="P48" s="2">
        <v>72</v>
      </c>
      <c r="Q48" t="s">
        <v>526</v>
      </c>
      <c r="R48" s="2">
        <v>9</v>
      </c>
      <c r="S48" s="34" t="s">
        <v>408</v>
      </c>
      <c r="T48" s="2">
        <v>4</v>
      </c>
      <c r="U48" t="s">
        <v>335</v>
      </c>
      <c r="V48" s="2">
        <v>8</v>
      </c>
      <c r="W48" s="2">
        <v>24</v>
      </c>
      <c r="Z48" s="2">
        <v>2</v>
      </c>
      <c r="AA48" s="2">
        <v>8</v>
      </c>
      <c r="AB48" t="s">
        <v>521</v>
      </c>
    </row>
    <row r="50" spans="15:28" x14ac:dyDescent="0.3">
      <c r="O50" t="s">
        <v>527</v>
      </c>
      <c r="P50" s="2">
        <v>200</v>
      </c>
      <c r="Q50" t="s">
        <v>526</v>
      </c>
      <c r="R50" s="2">
        <v>7</v>
      </c>
      <c r="S50" s="34" t="s">
        <v>404</v>
      </c>
      <c r="T50" s="2">
        <v>2</v>
      </c>
      <c r="U50" t="s">
        <v>534</v>
      </c>
      <c r="V50" s="2">
        <v>30</v>
      </c>
      <c r="W50" s="2">
        <v>120</v>
      </c>
      <c r="Z50" s="2">
        <v>5</v>
      </c>
      <c r="AA50" s="2">
        <v>4</v>
      </c>
      <c r="AB50" t="s">
        <v>537</v>
      </c>
    </row>
    <row r="51" spans="15:28" x14ac:dyDescent="0.3">
      <c r="O51" t="s">
        <v>137</v>
      </c>
      <c r="P51" s="2">
        <v>72</v>
      </c>
      <c r="Q51" t="s">
        <v>531</v>
      </c>
      <c r="R51" s="2">
        <v>8</v>
      </c>
      <c r="S51" s="34" t="s">
        <v>412</v>
      </c>
      <c r="T51" s="2">
        <v>3</v>
      </c>
      <c r="V51" s="2">
        <v>8</v>
      </c>
      <c r="W51" s="2">
        <v>24</v>
      </c>
      <c r="Z51" s="2">
        <v>6</v>
      </c>
      <c r="AA51" s="2">
        <v>5</v>
      </c>
      <c r="AB51" t="s">
        <v>482</v>
      </c>
    </row>
    <row r="52" spans="15:28" x14ac:dyDescent="0.3">
      <c r="O52" t="s">
        <v>136</v>
      </c>
      <c r="P52" s="2">
        <v>72</v>
      </c>
      <c r="Q52" t="s">
        <v>532</v>
      </c>
      <c r="R52" s="2">
        <v>16</v>
      </c>
      <c r="S52" s="34" t="s">
        <v>408</v>
      </c>
      <c r="T52" s="2" t="s">
        <v>525</v>
      </c>
      <c r="U52" s="2" t="s">
        <v>335</v>
      </c>
      <c r="V52" s="2">
        <v>16</v>
      </c>
      <c r="W52" s="2">
        <v>32</v>
      </c>
      <c r="Z52" s="2">
        <v>3</v>
      </c>
      <c r="AA52" s="2">
        <v>8</v>
      </c>
      <c r="AB52" t="s">
        <v>337</v>
      </c>
    </row>
    <row r="53" spans="15:28" x14ac:dyDescent="0.3">
      <c r="O53" t="s">
        <v>528</v>
      </c>
      <c r="P53" s="2">
        <v>48</v>
      </c>
      <c r="Q53" t="s">
        <v>526</v>
      </c>
      <c r="R53" s="2">
        <v>16</v>
      </c>
      <c r="S53" s="34" t="s">
        <v>408</v>
      </c>
      <c r="T53" s="2">
        <v>8</v>
      </c>
      <c r="U53" s="2" t="s">
        <v>535</v>
      </c>
      <c r="V53" s="2">
        <v>12</v>
      </c>
      <c r="W53" s="2">
        <v>24</v>
      </c>
      <c r="Z53" s="2">
        <v>1</v>
      </c>
      <c r="AA53" s="2">
        <v>11</v>
      </c>
      <c r="AB53" t="s">
        <v>538</v>
      </c>
    </row>
    <row r="54" spans="15:28" x14ac:dyDescent="0.3">
      <c r="O54" t="s">
        <v>529</v>
      </c>
      <c r="P54" s="2">
        <v>120</v>
      </c>
      <c r="Q54" t="s">
        <v>533</v>
      </c>
      <c r="R54" s="2">
        <v>18</v>
      </c>
      <c r="S54" s="34" t="s">
        <v>422</v>
      </c>
      <c r="T54" s="2">
        <v>12</v>
      </c>
      <c r="U54" t="s">
        <v>335</v>
      </c>
      <c r="V54" s="2">
        <v>30</v>
      </c>
      <c r="W54" s="2">
        <v>60</v>
      </c>
      <c r="Z54" s="2">
        <v>1</v>
      </c>
      <c r="AA54" s="2">
        <v>10</v>
      </c>
      <c r="AB54" t="s">
        <v>539</v>
      </c>
    </row>
    <row r="55" spans="15:28" x14ac:dyDescent="0.3">
      <c r="O55" t="s">
        <v>530</v>
      </c>
      <c r="P55" s="2" t="s">
        <v>415</v>
      </c>
      <c r="Q55" t="s">
        <v>415</v>
      </c>
      <c r="R55" s="2">
        <v>16</v>
      </c>
      <c r="S55" s="34" t="s">
        <v>422</v>
      </c>
      <c r="T55" s="2">
        <v>12</v>
      </c>
      <c r="U55" s="2" t="s">
        <v>536</v>
      </c>
      <c r="V55" s="2">
        <v>2</v>
      </c>
      <c r="Z55" s="2">
        <v>2</v>
      </c>
      <c r="AA55" s="2">
        <v>9</v>
      </c>
      <c r="AB55" t="s">
        <v>540</v>
      </c>
    </row>
    <row r="58" spans="15:28" x14ac:dyDescent="0.3">
      <c r="O58" t="s">
        <v>181</v>
      </c>
      <c r="P58" s="2">
        <v>200</v>
      </c>
      <c r="Q58" s="34" t="s">
        <v>541</v>
      </c>
      <c r="R58" s="2">
        <v>120</v>
      </c>
      <c r="S58" s="2">
        <f>P58/2*((P58/2)/60)^0.25</f>
        <v>113.62193664674993</v>
      </c>
    </row>
    <row r="59" spans="15:28" x14ac:dyDescent="0.3">
      <c r="P59" s="2">
        <v>120</v>
      </c>
      <c r="Q59" s="34" t="s">
        <v>541</v>
      </c>
      <c r="R59" s="2">
        <v>60</v>
      </c>
      <c r="S59" s="2">
        <f>P59/2*((P59/2)/60)^0.25</f>
        <v>60</v>
      </c>
    </row>
    <row r="60" spans="15:28" x14ac:dyDescent="0.3">
      <c r="P60" s="2">
        <v>72</v>
      </c>
      <c r="Q60" s="34" t="s">
        <v>541</v>
      </c>
      <c r="R60" s="34" t="s">
        <v>542</v>
      </c>
      <c r="S60" s="2">
        <f>P60/2*((P60/2)/60)^0.25</f>
        <v>31.684022524562163</v>
      </c>
    </row>
    <row r="61" spans="15:28" x14ac:dyDescent="0.3">
      <c r="P61" s="2">
        <v>48</v>
      </c>
      <c r="Q61" s="34" t="s">
        <v>541</v>
      </c>
      <c r="R61" s="34" t="s">
        <v>543</v>
      </c>
      <c r="S61" s="2">
        <f>P61/2*((P61/2)/60)^0.25</f>
        <v>19.086497490409215</v>
      </c>
    </row>
    <row r="62" spans="15:28" x14ac:dyDescent="0.3">
      <c r="P62" s="2">
        <v>24</v>
      </c>
      <c r="Q62" s="34" t="s">
        <v>541</v>
      </c>
      <c r="R62" s="2">
        <v>8</v>
      </c>
      <c r="S62" s="2">
        <f>P62/2*((P62/2)/60)^0.25</f>
        <v>8.0248836597170641</v>
      </c>
    </row>
    <row r="63" spans="15:28" x14ac:dyDescent="0.3">
      <c r="Q63" s="34"/>
    </row>
    <row r="64" spans="15:28" x14ac:dyDescent="0.3">
      <c r="O64" t="s">
        <v>184</v>
      </c>
      <c r="P64" s="2">
        <v>20</v>
      </c>
      <c r="Q64" s="34" t="s">
        <v>541</v>
      </c>
      <c r="R64" s="2">
        <v>6</v>
      </c>
      <c r="S64" s="2">
        <f t="shared" ref="S64:S70" si="0">P64/2*((P64/2)/6)^0.25</f>
        <v>11.362193664674994</v>
      </c>
    </row>
    <row r="65" spans="15:21" x14ac:dyDescent="0.3">
      <c r="P65" s="2">
        <v>12</v>
      </c>
      <c r="Q65" s="34" t="s">
        <v>541</v>
      </c>
      <c r="R65" s="2">
        <v>6</v>
      </c>
      <c r="S65" s="2">
        <f t="shared" si="0"/>
        <v>6</v>
      </c>
    </row>
    <row r="66" spans="15:21" x14ac:dyDescent="0.3">
      <c r="P66" s="2">
        <v>14</v>
      </c>
      <c r="Q66" s="34" t="s">
        <v>541</v>
      </c>
      <c r="R66" s="2">
        <v>3</v>
      </c>
      <c r="S66" s="2">
        <f t="shared" si="0"/>
        <v>7.2750291433778829</v>
      </c>
    </row>
    <row r="67" spans="15:21" x14ac:dyDescent="0.3">
      <c r="P67" s="2">
        <v>7</v>
      </c>
      <c r="Q67" s="34" t="s">
        <v>541</v>
      </c>
      <c r="R67" s="2" t="s">
        <v>547</v>
      </c>
      <c r="S67" s="2">
        <f t="shared" si="0"/>
        <v>3.0587729637663816</v>
      </c>
    </row>
    <row r="68" spans="15:21" x14ac:dyDescent="0.3">
      <c r="P68" s="2">
        <v>6</v>
      </c>
      <c r="Q68" s="34" t="s">
        <v>541</v>
      </c>
      <c r="R68" s="2">
        <v>3</v>
      </c>
      <c r="S68" s="2">
        <f t="shared" si="0"/>
        <v>2.5226892457611436</v>
      </c>
    </row>
    <row r="69" spans="15:21" x14ac:dyDescent="0.3">
      <c r="P69" s="2">
        <v>4</v>
      </c>
      <c r="Q69" s="34" t="s">
        <v>541</v>
      </c>
      <c r="R69" s="2">
        <v>2</v>
      </c>
      <c r="S69" s="2">
        <f t="shared" si="0"/>
        <v>1.5196713713031851</v>
      </c>
    </row>
    <row r="70" spans="15:21" x14ac:dyDescent="0.3">
      <c r="P70" s="2">
        <v>3.5</v>
      </c>
      <c r="Q70" s="34" t="s">
        <v>541</v>
      </c>
      <c r="R70" s="2">
        <v>1</v>
      </c>
      <c r="S70" s="2">
        <f t="shared" si="0"/>
        <v>1.2860556101530651</v>
      </c>
    </row>
    <row r="72" spans="15:21" x14ac:dyDescent="0.3">
      <c r="T72" s="2" t="s">
        <v>713</v>
      </c>
    </row>
    <row r="73" spans="15:21" x14ac:dyDescent="0.3">
      <c r="O73" t="s">
        <v>707</v>
      </c>
      <c r="P73" s="2">
        <v>18</v>
      </c>
      <c r="Q73" s="34" t="s">
        <v>541</v>
      </c>
      <c r="R73" s="2">
        <v>10</v>
      </c>
      <c r="S73" s="2">
        <f>P73*4/7</f>
        <v>10.285714285714286</v>
      </c>
      <c r="T73" s="2">
        <v>10</v>
      </c>
      <c r="U73" t="s">
        <v>711</v>
      </c>
    </row>
    <row r="74" spans="15:21" x14ac:dyDescent="0.3">
      <c r="P74" s="2">
        <v>16</v>
      </c>
      <c r="Q74" s="34" t="s">
        <v>541</v>
      </c>
      <c r="R74" s="34" t="s">
        <v>708</v>
      </c>
      <c r="S74" s="2">
        <f t="shared" ref="S74:S79" si="1">P74*4/7</f>
        <v>9.1428571428571423</v>
      </c>
      <c r="T74" s="2">
        <v>9</v>
      </c>
    </row>
    <row r="75" spans="15:21" x14ac:dyDescent="0.3">
      <c r="P75" s="2">
        <v>12</v>
      </c>
      <c r="Q75" s="34" t="s">
        <v>541</v>
      </c>
      <c r="R75" s="2">
        <v>8</v>
      </c>
      <c r="S75" s="2">
        <f t="shared" si="1"/>
        <v>6.8571428571428568</v>
      </c>
      <c r="T75" s="2">
        <v>7</v>
      </c>
    </row>
    <row r="76" spans="15:21" x14ac:dyDescent="0.3">
      <c r="P76" s="2">
        <v>9</v>
      </c>
      <c r="Q76" s="34" t="s">
        <v>541</v>
      </c>
      <c r="R76" s="2">
        <v>8</v>
      </c>
      <c r="S76" s="2">
        <f t="shared" si="1"/>
        <v>5.1428571428571432</v>
      </c>
      <c r="T76" s="2">
        <v>6</v>
      </c>
    </row>
    <row r="77" spans="15:21" x14ac:dyDescent="0.3">
      <c r="P77" s="2">
        <v>8</v>
      </c>
      <c r="Q77" s="34" t="s">
        <v>541</v>
      </c>
      <c r="R77" s="34" t="s">
        <v>709</v>
      </c>
      <c r="S77" s="2">
        <f t="shared" si="1"/>
        <v>4.5714285714285712</v>
      </c>
      <c r="T77" s="2">
        <v>5</v>
      </c>
    </row>
    <row r="78" spans="15:21" x14ac:dyDescent="0.3">
      <c r="P78" s="2">
        <v>7</v>
      </c>
      <c r="Q78" s="34" t="s">
        <v>541</v>
      </c>
      <c r="R78" s="2">
        <v>4</v>
      </c>
      <c r="S78" s="2">
        <f t="shared" si="1"/>
        <v>4</v>
      </c>
      <c r="T78" s="2">
        <v>4</v>
      </c>
      <c r="U78" t="s">
        <v>712</v>
      </c>
    </row>
    <row r="79" spans="15:21" x14ac:dyDescent="0.3">
      <c r="P79" s="2">
        <v>6</v>
      </c>
      <c r="Q79" s="34" t="s">
        <v>541</v>
      </c>
      <c r="R79" s="34" t="s">
        <v>710</v>
      </c>
      <c r="S79" s="2">
        <f t="shared" si="1"/>
        <v>3.4285714285714284</v>
      </c>
      <c r="T79" s="2">
        <v>3</v>
      </c>
    </row>
  </sheetData>
  <mergeCells count="1">
    <mergeCell ref="M12:M15"/>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4B55-1146-41BF-AC3B-88A7CAD9794E}">
  <dimension ref="A1:Q13"/>
  <sheetViews>
    <sheetView workbookViewId="0">
      <selection activeCell="A16" sqref="A16"/>
    </sheetView>
  </sheetViews>
  <sheetFormatPr defaultRowHeight="14.4" x14ac:dyDescent="0.3"/>
  <cols>
    <col min="1" max="1" width="17.6640625" customWidth="1"/>
    <col min="2" max="10" width="3.6640625" style="2" customWidth="1"/>
    <col min="11" max="11" width="10.77734375" style="2" bestFit="1" customWidth="1"/>
    <col min="13" max="15" width="22.6640625" customWidth="1"/>
    <col min="16" max="16" width="20.6640625" customWidth="1"/>
    <col min="17" max="17" width="46.5546875" bestFit="1" customWidth="1"/>
  </cols>
  <sheetData>
    <row r="1" spans="1:17" x14ac:dyDescent="0.3">
      <c r="A1" t="s">
        <v>1</v>
      </c>
      <c r="B1" s="2" t="s">
        <v>16</v>
      </c>
      <c r="C1" s="2" t="s">
        <v>11</v>
      </c>
      <c r="D1" s="2" t="s">
        <v>29</v>
      </c>
      <c r="E1" s="2" t="s">
        <v>123</v>
      </c>
      <c r="F1" s="2" t="s">
        <v>29</v>
      </c>
      <c r="G1" s="2" t="s">
        <v>31</v>
      </c>
      <c r="H1" s="2" t="s">
        <v>124</v>
      </c>
      <c r="I1" s="2" t="s">
        <v>30</v>
      </c>
      <c r="J1" s="2" t="s">
        <v>125</v>
      </c>
      <c r="K1" s="2" t="s">
        <v>117</v>
      </c>
      <c r="L1" s="2" t="s">
        <v>101</v>
      </c>
      <c r="M1" s="2" t="s">
        <v>127</v>
      </c>
      <c r="N1" s="2" t="s">
        <v>128</v>
      </c>
      <c r="O1" s="2" t="s">
        <v>129</v>
      </c>
      <c r="P1" s="2" t="s">
        <v>130</v>
      </c>
      <c r="Q1" s="2" t="s">
        <v>133</v>
      </c>
    </row>
    <row r="2" spans="1:17" x14ac:dyDescent="0.3">
      <c r="A2" t="s">
        <v>0</v>
      </c>
      <c r="B2" s="2">
        <v>2</v>
      </c>
      <c r="C2" s="2">
        <v>4</v>
      </c>
      <c r="D2" s="2">
        <v>10</v>
      </c>
      <c r="E2" s="2">
        <v>14</v>
      </c>
      <c r="F2" s="2">
        <v>13</v>
      </c>
      <c r="G2" s="2">
        <v>12</v>
      </c>
      <c r="H2" s="2">
        <v>4</v>
      </c>
      <c r="I2" s="2">
        <v>1</v>
      </c>
      <c r="J2" s="2">
        <v>9</v>
      </c>
      <c r="K2" s="2">
        <v>2</v>
      </c>
      <c r="L2" s="2">
        <v>750</v>
      </c>
      <c r="M2" t="s">
        <v>131</v>
      </c>
      <c r="N2" t="s">
        <v>132</v>
      </c>
      <c r="Q2" t="s">
        <v>134</v>
      </c>
    </row>
    <row r="3" spans="1:17" x14ac:dyDescent="0.3">
      <c r="A3" t="s">
        <v>2</v>
      </c>
      <c r="B3" s="2">
        <v>2</v>
      </c>
      <c r="C3" s="2">
        <v>4</v>
      </c>
      <c r="D3" s="2">
        <v>10</v>
      </c>
      <c r="E3" s="2">
        <v>14</v>
      </c>
      <c r="F3" s="2">
        <v>14</v>
      </c>
      <c r="G3" s="2">
        <v>13</v>
      </c>
      <c r="H3" s="2">
        <v>2</v>
      </c>
      <c r="I3" s="2">
        <v>2</v>
      </c>
      <c r="J3" s="2">
        <v>18</v>
      </c>
      <c r="K3" s="2">
        <v>4</v>
      </c>
      <c r="L3" s="2">
        <v>1475</v>
      </c>
      <c r="M3" t="s">
        <v>135</v>
      </c>
      <c r="N3" t="s">
        <v>136</v>
      </c>
      <c r="O3" t="s">
        <v>137</v>
      </c>
      <c r="Q3" t="s">
        <v>138</v>
      </c>
    </row>
    <row r="4" spans="1:17" x14ac:dyDescent="0.3">
      <c r="A4" t="s">
        <v>143</v>
      </c>
      <c r="B4" s="2">
        <v>2</v>
      </c>
      <c r="C4" s="2">
        <v>4</v>
      </c>
      <c r="D4" s="2">
        <v>10</v>
      </c>
      <c r="E4" s="2">
        <v>15</v>
      </c>
      <c r="F4" s="2">
        <v>14</v>
      </c>
      <c r="G4" s="2">
        <v>12</v>
      </c>
      <c r="H4" s="2">
        <v>2</v>
      </c>
      <c r="I4" s="2">
        <v>2</v>
      </c>
      <c r="J4" s="2">
        <v>24</v>
      </c>
      <c r="K4" s="2">
        <v>6</v>
      </c>
      <c r="L4" s="2">
        <v>2100</v>
      </c>
      <c r="M4" t="s">
        <v>144</v>
      </c>
      <c r="N4" t="s">
        <v>136</v>
      </c>
      <c r="O4" t="s">
        <v>136</v>
      </c>
      <c r="P4" t="s">
        <v>146</v>
      </c>
      <c r="Q4" t="s">
        <v>145</v>
      </c>
    </row>
    <row r="5" spans="1:17" x14ac:dyDescent="0.3">
      <c r="A5" t="s">
        <v>4</v>
      </c>
      <c r="B5" s="2">
        <v>2</v>
      </c>
      <c r="C5" s="2">
        <v>4</v>
      </c>
      <c r="D5" s="2" t="s">
        <v>126</v>
      </c>
      <c r="E5" s="2">
        <v>15</v>
      </c>
      <c r="F5" s="2">
        <v>15</v>
      </c>
      <c r="G5" s="2">
        <v>14</v>
      </c>
      <c r="H5" s="2">
        <v>1</v>
      </c>
      <c r="I5" s="2">
        <v>3</v>
      </c>
      <c r="J5" s="2">
        <v>30</v>
      </c>
      <c r="K5" s="2">
        <v>6</v>
      </c>
      <c r="L5" s="2">
        <v>2750</v>
      </c>
      <c r="M5" t="s">
        <v>139</v>
      </c>
      <c r="N5" t="s">
        <v>139</v>
      </c>
      <c r="O5" t="s">
        <v>140</v>
      </c>
      <c r="P5" t="s">
        <v>141</v>
      </c>
      <c r="Q5" t="s">
        <v>142</v>
      </c>
    </row>
    <row r="7" spans="1:17" x14ac:dyDescent="0.3">
      <c r="A7" t="s">
        <v>147</v>
      </c>
      <c r="B7" s="2">
        <v>4</v>
      </c>
      <c r="C7" s="2">
        <v>4</v>
      </c>
      <c r="D7" s="2">
        <v>10</v>
      </c>
      <c r="E7" s="2">
        <v>13</v>
      </c>
      <c r="F7" s="2">
        <v>12</v>
      </c>
      <c r="G7" s="2">
        <v>12</v>
      </c>
      <c r="H7" s="2">
        <v>4</v>
      </c>
      <c r="I7" s="2">
        <v>3</v>
      </c>
      <c r="J7" s="2">
        <v>6</v>
      </c>
      <c r="L7" s="2">
        <v>375</v>
      </c>
    </row>
    <row r="8" spans="1:17" x14ac:dyDescent="0.3">
      <c r="A8" t="s">
        <v>148</v>
      </c>
      <c r="B8" s="2">
        <v>4</v>
      </c>
      <c r="C8" s="2">
        <v>4</v>
      </c>
      <c r="D8" s="2">
        <v>10</v>
      </c>
      <c r="E8" s="2">
        <v>13</v>
      </c>
      <c r="F8" s="2">
        <v>12</v>
      </c>
      <c r="G8" s="2">
        <v>12</v>
      </c>
      <c r="H8" s="2">
        <v>4</v>
      </c>
      <c r="I8" s="2">
        <v>3</v>
      </c>
      <c r="J8" s="2">
        <v>6</v>
      </c>
      <c r="L8" s="2">
        <v>370</v>
      </c>
    </row>
    <row r="9" spans="1:17" x14ac:dyDescent="0.3">
      <c r="A9" t="s">
        <v>149</v>
      </c>
      <c r="B9" s="2">
        <v>4</v>
      </c>
      <c r="C9" s="2">
        <v>4</v>
      </c>
      <c r="D9" s="2">
        <v>10</v>
      </c>
      <c r="E9" s="2">
        <v>13</v>
      </c>
      <c r="F9" s="2">
        <v>12</v>
      </c>
      <c r="G9" s="2">
        <v>12</v>
      </c>
      <c r="H9" s="2">
        <v>2</v>
      </c>
      <c r="I9" s="2">
        <v>3</v>
      </c>
      <c r="J9" s="2">
        <v>6</v>
      </c>
      <c r="L9" s="2">
        <v>395</v>
      </c>
    </row>
    <row r="10" spans="1:17" x14ac:dyDescent="0.3">
      <c r="A10" t="s">
        <v>150</v>
      </c>
      <c r="B10" s="2">
        <v>4</v>
      </c>
      <c r="C10" s="2">
        <v>4</v>
      </c>
      <c r="D10" s="2">
        <v>10</v>
      </c>
      <c r="E10" s="2">
        <v>13</v>
      </c>
      <c r="F10" s="2">
        <v>12</v>
      </c>
      <c r="G10" s="2">
        <v>12</v>
      </c>
      <c r="H10" s="2">
        <v>2</v>
      </c>
      <c r="I10" s="2">
        <v>3</v>
      </c>
      <c r="J10" s="2">
        <v>6</v>
      </c>
      <c r="L10" s="2">
        <v>405</v>
      </c>
    </row>
    <row r="11" spans="1:17" x14ac:dyDescent="0.3">
      <c r="A11" t="s">
        <v>151</v>
      </c>
      <c r="B11" s="2">
        <v>4</v>
      </c>
      <c r="C11" s="2">
        <v>4</v>
      </c>
      <c r="D11" s="2">
        <v>10</v>
      </c>
      <c r="E11" s="2">
        <v>13</v>
      </c>
      <c r="F11" s="2">
        <v>12</v>
      </c>
      <c r="G11" s="2">
        <v>12</v>
      </c>
      <c r="H11" s="2">
        <v>4</v>
      </c>
      <c r="I11" s="2">
        <v>4</v>
      </c>
      <c r="J11" s="2">
        <v>6</v>
      </c>
      <c r="L11" s="2">
        <v>400</v>
      </c>
    </row>
    <row r="12" spans="1:17" x14ac:dyDescent="0.3">
      <c r="A12" t="s">
        <v>152</v>
      </c>
      <c r="B12" s="2">
        <v>4</v>
      </c>
      <c r="C12" s="2">
        <v>4</v>
      </c>
      <c r="D12" s="2">
        <v>10</v>
      </c>
      <c r="E12" s="2">
        <v>13</v>
      </c>
      <c r="F12" s="2">
        <v>12</v>
      </c>
      <c r="G12" s="2">
        <v>12</v>
      </c>
      <c r="H12" s="2">
        <v>4</v>
      </c>
      <c r="I12" s="2">
        <v>4</v>
      </c>
      <c r="J12" s="2">
        <v>6</v>
      </c>
      <c r="L12" s="2">
        <v>380</v>
      </c>
    </row>
    <row r="13" spans="1:17" x14ac:dyDescent="0.3">
      <c r="A13" t="s">
        <v>153</v>
      </c>
      <c r="B13" s="2">
        <v>4</v>
      </c>
      <c r="C13" s="2">
        <v>4</v>
      </c>
      <c r="D13" s="2">
        <v>10</v>
      </c>
      <c r="E13" s="2">
        <v>13</v>
      </c>
      <c r="F13" s="2">
        <v>12</v>
      </c>
      <c r="G13" s="2">
        <v>12</v>
      </c>
      <c r="H13" s="2">
        <v>4</v>
      </c>
      <c r="I13" s="2">
        <v>4</v>
      </c>
      <c r="J13" s="2">
        <v>6</v>
      </c>
      <c r="L13" s="2">
        <v>415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EDE47-D89C-4C08-8A77-27DB0F03F033}">
  <dimension ref="A1:Q13"/>
  <sheetViews>
    <sheetView workbookViewId="0">
      <selection activeCell="M18" sqref="M18"/>
    </sheetView>
  </sheetViews>
  <sheetFormatPr defaultRowHeight="14.4" x14ac:dyDescent="0.3"/>
  <cols>
    <col min="1" max="1" width="17.6640625" customWidth="1"/>
    <col min="2" max="10" width="3.6640625" style="2" customWidth="1"/>
    <col min="11" max="11" width="10.77734375" style="2" bestFit="1" customWidth="1"/>
    <col min="13" max="15" width="22.6640625" customWidth="1"/>
    <col min="16" max="16" width="20.6640625" customWidth="1"/>
    <col min="17" max="17" width="46.5546875" bestFit="1" customWidth="1"/>
  </cols>
  <sheetData>
    <row r="1" spans="1:17" x14ac:dyDescent="0.3">
      <c r="A1" t="s">
        <v>1</v>
      </c>
      <c r="B1" s="2" t="s">
        <v>16</v>
      </c>
      <c r="C1" s="2" t="s">
        <v>11</v>
      </c>
      <c r="D1" s="2" t="s">
        <v>29</v>
      </c>
      <c r="E1" s="2" t="s">
        <v>123</v>
      </c>
      <c r="F1" s="2" t="s">
        <v>29</v>
      </c>
      <c r="G1" s="2" t="s">
        <v>31</v>
      </c>
      <c r="H1" s="2" t="s">
        <v>124</v>
      </c>
      <c r="I1" s="2" t="s">
        <v>30</v>
      </c>
      <c r="J1" s="2" t="s">
        <v>125</v>
      </c>
      <c r="K1" s="2" t="s">
        <v>117</v>
      </c>
      <c r="L1" s="2" t="s">
        <v>101</v>
      </c>
      <c r="M1" s="2" t="s">
        <v>127</v>
      </c>
      <c r="N1" s="2" t="s">
        <v>128</v>
      </c>
      <c r="O1" s="2" t="s">
        <v>129</v>
      </c>
      <c r="P1" s="2" t="s">
        <v>130</v>
      </c>
      <c r="Q1" s="2" t="s">
        <v>133</v>
      </c>
    </row>
    <row r="2" spans="1:17" x14ac:dyDescent="0.3">
      <c r="A2" t="s">
        <v>0</v>
      </c>
      <c r="B2" s="2">
        <v>2</v>
      </c>
      <c r="C2" s="2">
        <v>4</v>
      </c>
      <c r="D2" s="2">
        <v>10</v>
      </c>
      <c r="E2" s="2">
        <v>14</v>
      </c>
      <c r="F2" s="2">
        <v>13</v>
      </c>
      <c r="G2" s="2">
        <v>12</v>
      </c>
      <c r="H2" s="2">
        <v>4</v>
      </c>
      <c r="I2" s="2">
        <v>1</v>
      </c>
      <c r="J2" s="2">
        <v>9</v>
      </c>
      <c r="K2" s="2">
        <v>2</v>
      </c>
      <c r="L2" s="2">
        <v>750</v>
      </c>
      <c r="M2" t="s">
        <v>131</v>
      </c>
      <c r="N2" t="s">
        <v>132</v>
      </c>
      <c r="Q2" t="s">
        <v>134</v>
      </c>
    </row>
    <row r="3" spans="1:17" x14ac:dyDescent="0.3">
      <c r="A3" t="s">
        <v>2</v>
      </c>
      <c r="B3" s="2">
        <v>2</v>
      </c>
      <c r="C3" s="2">
        <v>4</v>
      </c>
      <c r="D3" s="2">
        <v>10</v>
      </c>
      <c r="E3" s="2">
        <v>14</v>
      </c>
      <c r="F3" s="2">
        <v>14</v>
      </c>
      <c r="G3" s="2">
        <v>13</v>
      </c>
      <c r="H3" s="2">
        <v>2</v>
      </c>
      <c r="I3" s="2">
        <v>2</v>
      </c>
      <c r="J3" s="2">
        <v>18</v>
      </c>
      <c r="K3" s="2">
        <v>4</v>
      </c>
      <c r="L3" s="2">
        <v>1475</v>
      </c>
      <c r="M3" t="s">
        <v>135</v>
      </c>
      <c r="N3" t="s">
        <v>136</v>
      </c>
      <c r="O3" t="s">
        <v>137</v>
      </c>
      <c r="Q3" t="s">
        <v>138</v>
      </c>
    </row>
    <row r="4" spans="1:17" x14ac:dyDescent="0.3">
      <c r="A4" t="s">
        <v>143</v>
      </c>
      <c r="B4" s="2">
        <v>2</v>
      </c>
      <c r="C4" s="2">
        <v>4</v>
      </c>
      <c r="D4" s="2">
        <v>10</v>
      </c>
      <c r="E4" s="2">
        <v>15</v>
      </c>
      <c r="F4" s="2">
        <v>14</v>
      </c>
      <c r="G4" s="2">
        <v>12</v>
      </c>
      <c r="H4" s="2">
        <v>2</v>
      </c>
      <c r="I4" s="2">
        <v>2</v>
      </c>
      <c r="J4" s="2">
        <v>24</v>
      </c>
      <c r="K4" s="2">
        <v>6</v>
      </c>
      <c r="L4" s="2">
        <v>2100</v>
      </c>
      <c r="M4" t="s">
        <v>144</v>
      </c>
      <c r="N4" t="s">
        <v>136</v>
      </c>
      <c r="O4" t="s">
        <v>136</v>
      </c>
      <c r="P4" t="s">
        <v>146</v>
      </c>
      <c r="Q4" t="s">
        <v>145</v>
      </c>
    </row>
    <row r="5" spans="1:17" x14ac:dyDescent="0.3">
      <c r="A5" t="s">
        <v>4</v>
      </c>
      <c r="B5" s="2">
        <v>2</v>
      </c>
      <c r="C5" s="2">
        <v>4</v>
      </c>
      <c r="D5" s="2" t="s">
        <v>126</v>
      </c>
      <c r="E5" s="2">
        <v>15</v>
      </c>
      <c r="F5" s="2">
        <v>15</v>
      </c>
      <c r="G5" s="2">
        <v>14</v>
      </c>
      <c r="H5" s="2">
        <v>1</v>
      </c>
      <c r="I5" s="2">
        <v>3</v>
      </c>
      <c r="J5" s="2">
        <v>30</v>
      </c>
      <c r="K5" s="2">
        <v>6</v>
      </c>
      <c r="L5" s="2">
        <v>2750</v>
      </c>
      <c r="M5" t="s">
        <v>139</v>
      </c>
      <c r="N5" t="s">
        <v>139</v>
      </c>
      <c r="O5" t="s">
        <v>140</v>
      </c>
      <c r="P5" t="s">
        <v>141</v>
      </c>
      <c r="Q5" t="s">
        <v>142</v>
      </c>
    </row>
    <row r="7" spans="1:17" x14ac:dyDescent="0.3">
      <c r="A7" t="s">
        <v>147</v>
      </c>
      <c r="B7" s="2">
        <v>4</v>
      </c>
      <c r="C7" s="2">
        <v>4</v>
      </c>
      <c r="D7" s="2">
        <v>10</v>
      </c>
      <c r="E7" s="2">
        <v>13</v>
      </c>
      <c r="F7" s="2">
        <v>12</v>
      </c>
      <c r="G7" s="2">
        <v>12</v>
      </c>
      <c r="H7" s="2">
        <v>4</v>
      </c>
      <c r="I7" s="2">
        <v>3</v>
      </c>
      <c r="J7" s="2">
        <v>6</v>
      </c>
      <c r="L7" s="2">
        <v>375</v>
      </c>
    </row>
    <row r="8" spans="1:17" x14ac:dyDescent="0.3">
      <c r="A8" t="s">
        <v>148</v>
      </c>
      <c r="B8" s="2">
        <v>4</v>
      </c>
      <c r="C8" s="2">
        <v>4</v>
      </c>
      <c r="D8" s="2">
        <v>10</v>
      </c>
      <c r="E8" s="2">
        <v>13</v>
      </c>
      <c r="F8" s="2">
        <v>12</v>
      </c>
      <c r="G8" s="2">
        <v>12</v>
      </c>
      <c r="H8" s="2">
        <v>4</v>
      </c>
      <c r="I8" s="2">
        <v>3</v>
      </c>
      <c r="J8" s="2">
        <v>6</v>
      </c>
      <c r="L8" s="2">
        <v>370</v>
      </c>
    </row>
    <row r="9" spans="1:17" x14ac:dyDescent="0.3">
      <c r="A9" t="s">
        <v>149</v>
      </c>
      <c r="B9" s="2">
        <v>4</v>
      </c>
      <c r="C9" s="2">
        <v>4</v>
      </c>
      <c r="D9" s="2">
        <v>10</v>
      </c>
      <c r="E9" s="2">
        <v>13</v>
      </c>
      <c r="F9" s="2">
        <v>12</v>
      </c>
      <c r="G9" s="2">
        <v>12</v>
      </c>
      <c r="H9" s="2">
        <v>2</v>
      </c>
      <c r="I9" s="2">
        <v>3</v>
      </c>
      <c r="J9" s="2">
        <v>6</v>
      </c>
      <c r="L9" s="2">
        <v>395</v>
      </c>
    </row>
    <row r="10" spans="1:17" x14ac:dyDescent="0.3">
      <c r="A10" t="s">
        <v>150</v>
      </c>
      <c r="B10" s="2">
        <v>4</v>
      </c>
      <c r="C10" s="2">
        <v>4</v>
      </c>
      <c r="D10" s="2">
        <v>10</v>
      </c>
      <c r="E10" s="2">
        <v>13</v>
      </c>
      <c r="F10" s="2">
        <v>12</v>
      </c>
      <c r="G10" s="2">
        <v>12</v>
      </c>
      <c r="H10" s="2">
        <v>2</v>
      </c>
      <c r="I10" s="2">
        <v>3</v>
      </c>
      <c r="J10" s="2">
        <v>6</v>
      </c>
      <c r="L10" s="2">
        <v>405</v>
      </c>
    </row>
    <row r="11" spans="1:17" x14ac:dyDescent="0.3">
      <c r="A11" t="s">
        <v>151</v>
      </c>
      <c r="B11" s="2">
        <v>4</v>
      </c>
      <c r="C11" s="2">
        <v>4</v>
      </c>
      <c r="D11" s="2">
        <v>10</v>
      </c>
      <c r="E11" s="2">
        <v>13</v>
      </c>
      <c r="F11" s="2">
        <v>12</v>
      </c>
      <c r="G11" s="2">
        <v>12</v>
      </c>
      <c r="H11" s="2">
        <v>4</v>
      </c>
      <c r="I11" s="2">
        <v>4</v>
      </c>
      <c r="J11" s="2">
        <v>6</v>
      </c>
      <c r="L11" s="2">
        <v>400</v>
      </c>
    </row>
    <row r="12" spans="1:17" x14ac:dyDescent="0.3">
      <c r="A12" t="s">
        <v>152</v>
      </c>
      <c r="B12" s="2">
        <v>4</v>
      </c>
      <c r="C12" s="2">
        <v>4</v>
      </c>
      <c r="D12" s="2">
        <v>10</v>
      </c>
      <c r="E12" s="2">
        <v>13</v>
      </c>
      <c r="F12" s="2">
        <v>12</v>
      </c>
      <c r="G12" s="2">
        <v>12</v>
      </c>
      <c r="H12" s="2">
        <v>4</v>
      </c>
      <c r="I12" s="2">
        <v>4</v>
      </c>
      <c r="J12" s="2">
        <v>6</v>
      </c>
      <c r="L12" s="2">
        <v>380</v>
      </c>
    </row>
    <row r="13" spans="1:17" x14ac:dyDescent="0.3">
      <c r="A13" t="s">
        <v>153</v>
      </c>
      <c r="B13" s="2">
        <v>4</v>
      </c>
      <c r="C13" s="2">
        <v>4</v>
      </c>
      <c r="D13" s="2">
        <v>10</v>
      </c>
      <c r="E13" s="2">
        <v>13</v>
      </c>
      <c r="F13" s="2">
        <v>12</v>
      </c>
      <c r="G13" s="2">
        <v>12</v>
      </c>
      <c r="H13" s="2">
        <v>4</v>
      </c>
      <c r="I13" s="2">
        <v>4</v>
      </c>
      <c r="J13" s="2">
        <v>6</v>
      </c>
      <c r="L13" s="2">
        <v>415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287E-7CEB-4A3B-B1A4-8013ED5B8BF2}">
  <dimension ref="A2:P55"/>
  <sheetViews>
    <sheetView topLeftCell="A23" workbookViewId="0">
      <selection activeCell="A27" sqref="A27:N27"/>
    </sheetView>
  </sheetViews>
  <sheetFormatPr defaultRowHeight="14.4" x14ac:dyDescent="0.3"/>
  <sheetData>
    <row r="2" spans="1:14" ht="14.55" customHeight="1" x14ac:dyDescent="0.3">
      <c r="A2" s="6" t="s">
        <v>339</v>
      </c>
    </row>
    <row r="3" spans="1:14" ht="43.5" customHeight="1" x14ac:dyDescent="0.3">
      <c r="A3" s="69" t="s">
        <v>369</v>
      </c>
      <c r="B3" s="69"/>
      <c r="C3" s="69"/>
      <c r="D3" s="69"/>
      <c r="E3" s="69"/>
      <c r="F3" s="69"/>
      <c r="G3" s="69"/>
      <c r="H3" s="69"/>
      <c r="I3" s="69"/>
      <c r="J3" s="69"/>
      <c r="K3" s="69"/>
      <c r="L3" s="69"/>
      <c r="M3" s="69"/>
      <c r="N3" s="69"/>
    </row>
    <row r="5" spans="1:14" x14ac:dyDescent="0.3">
      <c r="A5" s="6" t="s">
        <v>345</v>
      </c>
    </row>
    <row r="6" spans="1:14" ht="43.05" customHeight="1" x14ac:dyDescent="0.3">
      <c r="A6" s="69" t="s">
        <v>342</v>
      </c>
      <c r="B6" s="69"/>
      <c r="C6" s="69"/>
      <c r="D6" s="69"/>
      <c r="E6" s="69"/>
      <c r="F6" s="69"/>
      <c r="G6" s="69"/>
      <c r="H6" s="69"/>
      <c r="I6" s="69"/>
      <c r="J6" s="69"/>
      <c r="K6" s="69"/>
      <c r="L6" s="69"/>
      <c r="M6" s="69"/>
      <c r="N6" s="69"/>
    </row>
    <row r="7" spans="1:14" ht="43.05" customHeight="1" x14ac:dyDescent="0.3">
      <c r="A7" s="71" t="s">
        <v>343</v>
      </c>
      <c r="B7" s="71"/>
      <c r="C7" s="71"/>
      <c r="D7" s="71"/>
      <c r="E7" s="71"/>
      <c r="F7" s="71"/>
      <c r="G7" s="71"/>
      <c r="H7" s="71"/>
      <c r="I7" s="71"/>
      <c r="J7" s="71"/>
      <c r="K7" s="71"/>
      <c r="L7" s="71"/>
      <c r="M7" s="71"/>
      <c r="N7" s="71"/>
    </row>
    <row r="8" spans="1:14" x14ac:dyDescent="0.3">
      <c r="A8" s="72" t="s">
        <v>341</v>
      </c>
      <c r="B8" s="72"/>
      <c r="C8" s="72"/>
      <c r="D8" s="72"/>
      <c r="E8" s="72"/>
      <c r="F8" s="72"/>
      <c r="G8" s="72"/>
      <c r="H8" s="72"/>
      <c r="I8" s="72"/>
      <c r="J8" s="72"/>
      <c r="K8" s="72"/>
      <c r="L8" s="72"/>
      <c r="M8" s="72"/>
      <c r="N8" s="72"/>
    </row>
    <row r="9" spans="1:14" ht="28.95" customHeight="1" x14ac:dyDescent="0.3">
      <c r="A9" s="69" t="s">
        <v>344</v>
      </c>
      <c r="B9" s="72"/>
      <c r="C9" s="72"/>
      <c r="D9" s="72"/>
      <c r="E9" s="72"/>
      <c r="F9" s="72"/>
      <c r="G9" s="72"/>
      <c r="H9" s="72"/>
      <c r="I9" s="72"/>
      <c r="J9" s="72"/>
      <c r="K9" s="72"/>
      <c r="L9" s="72"/>
      <c r="M9" s="72"/>
      <c r="N9" s="72"/>
    </row>
    <row r="11" spans="1:14" x14ac:dyDescent="0.3">
      <c r="A11" s="6" t="s">
        <v>346</v>
      </c>
    </row>
    <row r="12" spans="1:14" ht="72.45" customHeight="1" x14ac:dyDescent="0.3">
      <c r="A12" s="69" t="s">
        <v>392</v>
      </c>
      <c r="B12" s="69"/>
      <c r="C12" s="69"/>
      <c r="D12" s="69"/>
      <c r="E12" s="69"/>
      <c r="F12" s="69"/>
      <c r="G12" s="69"/>
      <c r="H12" s="69"/>
      <c r="I12" s="69"/>
      <c r="J12" s="69"/>
      <c r="K12" s="69"/>
      <c r="L12" s="69"/>
      <c r="M12" s="69"/>
      <c r="N12" s="69"/>
    </row>
    <row r="14" spans="1:14" x14ac:dyDescent="0.3">
      <c r="A14" s="6" t="s">
        <v>336</v>
      </c>
    </row>
    <row r="15" spans="1:14" ht="117" customHeight="1" x14ac:dyDescent="0.3">
      <c r="A15" s="69" t="s">
        <v>393</v>
      </c>
      <c r="B15" s="69"/>
      <c r="C15" s="69"/>
      <c r="D15" s="69"/>
      <c r="E15" s="69"/>
      <c r="F15" s="69"/>
      <c r="G15" s="69"/>
      <c r="H15" s="69"/>
      <c r="I15" s="69"/>
      <c r="J15" s="69"/>
      <c r="K15" s="69"/>
      <c r="L15" s="69"/>
      <c r="M15" s="69"/>
      <c r="N15" s="69"/>
    </row>
    <row r="17" spans="1:14" x14ac:dyDescent="0.3">
      <c r="A17" s="6" t="s">
        <v>364</v>
      </c>
    </row>
    <row r="18" spans="1:14" ht="120.45" customHeight="1" x14ac:dyDescent="0.3">
      <c r="A18" s="69" t="s">
        <v>340</v>
      </c>
      <c r="B18" s="69"/>
      <c r="C18" s="69"/>
      <c r="D18" s="69"/>
      <c r="E18" s="69"/>
      <c r="F18" s="69"/>
      <c r="G18" s="69"/>
      <c r="H18" s="69"/>
      <c r="I18" s="69"/>
      <c r="J18" s="69"/>
      <c r="K18" s="69"/>
      <c r="L18" s="69"/>
      <c r="M18" s="69"/>
      <c r="N18" s="69"/>
    </row>
    <row r="20" spans="1:14" x14ac:dyDescent="0.3">
      <c r="A20" s="6" t="s">
        <v>396</v>
      </c>
    </row>
    <row r="21" spans="1:14" ht="61.8" customHeight="1" x14ac:dyDescent="0.3">
      <c r="A21" s="69" t="s">
        <v>796</v>
      </c>
      <c r="B21" s="69"/>
      <c r="C21" s="69"/>
      <c r="D21" s="69"/>
      <c r="E21" s="69"/>
      <c r="F21" s="69"/>
      <c r="G21" s="69"/>
      <c r="H21" s="69"/>
      <c r="I21" s="69"/>
      <c r="J21" s="69"/>
      <c r="K21" s="69"/>
      <c r="L21" s="69"/>
      <c r="M21" s="69"/>
      <c r="N21" s="69"/>
    </row>
    <row r="23" spans="1:14" x14ac:dyDescent="0.3">
      <c r="A23" s="6" t="s">
        <v>389</v>
      </c>
    </row>
    <row r="24" spans="1:14" ht="190.05" customHeight="1" x14ac:dyDescent="0.3">
      <c r="A24" s="69" t="s">
        <v>390</v>
      </c>
      <c r="B24" s="69"/>
      <c r="C24" s="69"/>
      <c r="D24" s="69"/>
      <c r="E24" s="69"/>
      <c r="F24" s="69"/>
      <c r="G24" s="69"/>
      <c r="H24" s="69"/>
      <c r="I24" s="69"/>
      <c r="J24" s="69"/>
      <c r="K24" s="69"/>
      <c r="L24" s="69"/>
      <c r="M24" s="69"/>
      <c r="N24" s="69"/>
    </row>
    <row r="26" spans="1:14" x14ac:dyDescent="0.3">
      <c r="A26" s="6" t="s">
        <v>611</v>
      </c>
    </row>
    <row r="27" spans="1:14" ht="102" customHeight="1" x14ac:dyDescent="0.3">
      <c r="A27" s="69" t="s">
        <v>793</v>
      </c>
      <c r="B27" s="69"/>
      <c r="C27" s="69"/>
      <c r="D27" s="69"/>
      <c r="E27" s="69"/>
      <c r="F27" s="69"/>
      <c r="G27" s="69"/>
      <c r="H27" s="69"/>
      <c r="I27" s="69"/>
      <c r="J27" s="69"/>
      <c r="K27" s="69"/>
      <c r="L27" s="69"/>
      <c r="M27" s="69"/>
      <c r="N27" s="69"/>
    </row>
    <row r="30" spans="1:14" x14ac:dyDescent="0.3">
      <c r="A30" s="6" t="s">
        <v>386</v>
      </c>
    </row>
    <row r="31" spans="1:14" x14ac:dyDescent="0.3">
      <c r="A31" t="s">
        <v>795</v>
      </c>
    </row>
    <row r="34" spans="1:14" x14ac:dyDescent="0.3">
      <c r="A34" s="6" t="s">
        <v>387</v>
      </c>
    </row>
    <row r="35" spans="1:14" x14ac:dyDescent="0.3">
      <c r="A35" t="s">
        <v>388</v>
      </c>
    </row>
    <row r="37" spans="1:14" x14ac:dyDescent="0.3">
      <c r="A37" s="6" t="s">
        <v>335</v>
      </c>
    </row>
    <row r="38" spans="1:14" ht="28.95" customHeight="1" x14ac:dyDescent="0.3">
      <c r="A38" s="69" t="s">
        <v>802</v>
      </c>
      <c r="B38" s="69"/>
      <c r="C38" s="69"/>
      <c r="D38" s="69"/>
      <c r="E38" s="69"/>
      <c r="F38" s="69"/>
      <c r="G38" s="69"/>
      <c r="H38" s="69"/>
      <c r="I38" s="69"/>
      <c r="J38" s="69"/>
      <c r="K38" s="69"/>
      <c r="L38" s="69"/>
      <c r="M38" s="69"/>
      <c r="N38" s="69"/>
    </row>
    <row r="39" spans="1:14" x14ac:dyDescent="0.3">
      <c r="A39" t="s">
        <v>634</v>
      </c>
    </row>
    <row r="41" spans="1:14" x14ac:dyDescent="0.3">
      <c r="A41" t="s">
        <v>612</v>
      </c>
    </row>
    <row r="42" spans="1:14" x14ac:dyDescent="0.3">
      <c r="A42" t="s">
        <v>613</v>
      </c>
    </row>
    <row r="44" spans="1:14" x14ac:dyDescent="0.3">
      <c r="A44" s="6" t="s">
        <v>337</v>
      </c>
    </row>
    <row r="45" spans="1:14" x14ac:dyDescent="0.3">
      <c r="A45" t="s">
        <v>635</v>
      </c>
    </row>
    <row r="47" spans="1:14" x14ac:dyDescent="0.3">
      <c r="A47" s="6" t="s">
        <v>338</v>
      </c>
    </row>
    <row r="48" spans="1:14" x14ac:dyDescent="0.3">
      <c r="A48" t="s">
        <v>636</v>
      </c>
    </row>
    <row r="52" spans="1:16" x14ac:dyDescent="0.3">
      <c r="A52" t="s">
        <v>666</v>
      </c>
    </row>
    <row r="53" spans="1:16" ht="68.55" customHeight="1" x14ac:dyDescent="0.3">
      <c r="A53" s="70" t="s">
        <v>667</v>
      </c>
      <c r="B53" s="70"/>
      <c r="C53" s="70"/>
      <c r="D53" s="70"/>
      <c r="E53" s="70"/>
      <c r="F53" s="70"/>
      <c r="G53" s="70"/>
      <c r="H53" s="70"/>
      <c r="I53" s="70"/>
      <c r="J53" s="70"/>
      <c r="K53" s="70"/>
      <c r="L53" s="70"/>
      <c r="M53" s="70"/>
      <c r="N53" s="70"/>
      <c r="O53" s="70"/>
      <c r="P53" s="70"/>
    </row>
    <row r="55" spans="1:16" x14ac:dyDescent="0.3">
      <c r="A55" t="s">
        <v>733</v>
      </c>
    </row>
  </sheetData>
  <mergeCells count="13">
    <mergeCell ref="A53:P53"/>
    <mergeCell ref="A3:N3"/>
    <mergeCell ref="A15:N15"/>
    <mergeCell ref="A38:N38"/>
    <mergeCell ref="A18:N18"/>
    <mergeCell ref="A6:N6"/>
    <mergeCell ref="A7:N7"/>
    <mergeCell ref="A8:N8"/>
    <mergeCell ref="A9:N9"/>
    <mergeCell ref="A12:N12"/>
    <mergeCell ref="A24:N24"/>
    <mergeCell ref="A21:N21"/>
    <mergeCell ref="A27:N27"/>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9A2A5-EC9D-472E-BB68-476A68617905}">
  <dimension ref="A1:P28"/>
  <sheetViews>
    <sheetView tabSelected="1" topLeftCell="A14" workbookViewId="0">
      <selection activeCell="A2" sqref="A2"/>
    </sheetView>
  </sheetViews>
  <sheetFormatPr defaultRowHeight="14.4" x14ac:dyDescent="0.3"/>
  <sheetData>
    <row r="1" spans="1:14" x14ac:dyDescent="0.3">
      <c r="A1" s="73" t="s">
        <v>627</v>
      </c>
      <c r="B1" s="73"/>
      <c r="C1" s="73"/>
      <c r="D1" s="73"/>
      <c r="E1" s="73"/>
      <c r="F1" s="73"/>
      <c r="G1" s="73"/>
      <c r="H1" s="73"/>
      <c r="I1" s="73"/>
      <c r="J1" s="73"/>
      <c r="K1" s="73"/>
      <c r="L1" s="73"/>
      <c r="M1" s="73"/>
      <c r="N1" s="73"/>
    </row>
    <row r="2" spans="1:14" x14ac:dyDescent="0.3">
      <c r="A2" s="45" t="s">
        <v>864</v>
      </c>
    </row>
    <row r="3" spans="1:14" x14ac:dyDescent="0.3">
      <c r="A3" t="s">
        <v>628</v>
      </c>
    </row>
    <row r="4" spans="1:14" ht="72.45" customHeight="1" x14ac:dyDescent="0.3">
      <c r="A4" s="69" t="s">
        <v>865</v>
      </c>
      <c r="B4" s="72"/>
      <c r="C4" s="72"/>
      <c r="D4" s="72"/>
      <c r="E4" s="72"/>
      <c r="F4" s="72"/>
      <c r="G4" s="72"/>
      <c r="H4" s="72"/>
      <c r="I4" s="72"/>
      <c r="J4" s="72"/>
      <c r="K4" s="72"/>
      <c r="L4" s="72"/>
      <c r="M4" s="72"/>
      <c r="N4" s="72"/>
    </row>
    <row r="5" spans="1:14" ht="17.399999999999999" customHeight="1" x14ac:dyDescent="0.3">
      <c r="A5" s="20"/>
    </row>
    <row r="6" spans="1:14" x14ac:dyDescent="0.3">
      <c r="A6" t="s">
        <v>397</v>
      </c>
    </row>
    <row r="7" spans="1:14" x14ac:dyDescent="0.3">
      <c r="A7" s="45" t="s">
        <v>608</v>
      </c>
    </row>
    <row r="8" spans="1:14" x14ac:dyDescent="0.3">
      <c r="A8" s="45" t="s">
        <v>629</v>
      </c>
    </row>
    <row r="9" spans="1:14" x14ac:dyDescent="0.3">
      <c r="A9" t="s">
        <v>398</v>
      </c>
    </row>
    <row r="10" spans="1:14" x14ac:dyDescent="0.3">
      <c r="A10" t="s">
        <v>630</v>
      </c>
    </row>
    <row r="13" spans="1:14" x14ac:dyDescent="0.3">
      <c r="A13" s="45" t="s">
        <v>607</v>
      </c>
    </row>
    <row r="15" spans="1:14" ht="28.95" customHeight="1" x14ac:dyDescent="0.3">
      <c r="A15" s="69" t="s">
        <v>863</v>
      </c>
      <c r="B15" s="69"/>
      <c r="C15" s="69"/>
      <c r="D15" s="69"/>
      <c r="E15" s="69"/>
      <c r="F15" s="69"/>
      <c r="G15" s="69"/>
      <c r="H15" s="69"/>
      <c r="I15" s="69"/>
      <c r="J15" s="69"/>
      <c r="K15" s="69"/>
      <c r="L15" s="69"/>
      <c r="M15" s="69"/>
      <c r="N15" s="69"/>
    </row>
    <row r="17" spans="1:16" x14ac:dyDescent="0.3">
      <c r="A17" s="45" t="s">
        <v>631</v>
      </c>
    </row>
    <row r="18" spans="1:16" x14ac:dyDescent="0.3">
      <c r="A18" s="45" t="s">
        <v>632</v>
      </c>
    </row>
    <row r="20" spans="1:16" x14ac:dyDescent="0.3">
      <c r="A20" t="s">
        <v>633</v>
      </c>
    </row>
    <row r="22" spans="1:16" x14ac:dyDescent="0.3">
      <c r="A22" t="s">
        <v>637</v>
      </c>
    </row>
    <row r="23" spans="1:16" x14ac:dyDescent="0.3">
      <c r="A23" t="s">
        <v>638</v>
      </c>
    </row>
    <row r="25" spans="1:16" x14ac:dyDescent="0.3">
      <c r="A25" t="s">
        <v>778</v>
      </c>
    </row>
    <row r="26" spans="1:16" x14ac:dyDescent="0.3">
      <c r="A26" t="s">
        <v>779</v>
      </c>
    </row>
    <row r="28" spans="1:16" ht="27.6" customHeight="1" x14ac:dyDescent="0.3">
      <c r="A28" s="69" t="s">
        <v>862</v>
      </c>
      <c r="B28" s="69"/>
      <c r="C28" s="69"/>
      <c r="D28" s="69"/>
      <c r="E28" s="69"/>
      <c r="F28" s="69"/>
      <c r="G28" s="69"/>
      <c r="H28" s="69"/>
      <c r="I28" s="69"/>
      <c r="J28" s="69"/>
      <c r="K28" s="69"/>
      <c r="L28" s="69"/>
      <c r="M28" s="69"/>
      <c r="N28" s="69"/>
      <c r="O28" s="69"/>
      <c r="P28" s="69"/>
    </row>
  </sheetData>
  <mergeCells count="4">
    <mergeCell ref="A1:N1"/>
    <mergeCell ref="A4:N4"/>
    <mergeCell ref="A15:N15"/>
    <mergeCell ref="A28:P2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4AC0-A20F-4401-B5DD-F1123176BD24}">
  <dimension ref="A2:W72"/>
  <sheetViews>
    <sheetView showGridLines="0" topLeftCell="A9" workbookViewId="0">
      <selection activeCell="J13" sqref="J13"/>
    </sheetView>
  </sheetViews>
  <sheetFormatPr defaultRowHeight="14.4" x14ac:dyDescent="0.3"/>
  <cols>
    <col min="3" max="3" width="8.77734375" style="2"/>
    <col min="5" max="5" width="10.6640625" customWidth="1"/>
  </cols>
  <sheetData>
    <row r="2" spans="1:23" ht="15.6" x14ac:dyDescent="0.3">
      <c r="A2" s="18" t="s">
        <v>329</v>
      </c>
      <c r="H2" s="6" t="s">
        <v>754</v>
      </c>
    </row>
    <row r="3" spans="1:23" x14ac:dyDescent="0.3">
      <c r="A3" s="19" t="s">
        <v>330</v>
      </c>
      <c r="B3" s="19" t="s">
        <v>331</v>
      </c>
      <c r="C3" s="19" t="s">
        <v>332</v>
      </c>
      <c r="D3" s="6" t="s">
        <v>333</v>
      </c>
      <c r="E3" s="6" t="s">
        <v>334</v>
      </c>
      <c r="H3" s="6"/>
      <c r="J3" s="68" t="s">
        <v>783</v>
      </c>
      <c r="K3" s="68"/>
      <c r="L3" s="68"/>
      <c r="M3" s="68"/>
      <c r="Q3" s="68" t="s">
        <v>758</v>
      </c>
      <c r="R3" s="68"/>
      <c r="S3" s="68"/>
      <c r="T3" s="68"/>
      <c r="U3" s="68"/>
      <c r="V3" s="68"/>
    </row>
    <row r="4" spans="1:23" ht="21.6" x14ac:dyDescent="0.3">
      <c r="A4" s="2">
        <v>3</v>
      </c>
      <c r="B4" s="2">
        <v>3</v>
      </c>
      <c r="C4" s="2" t="b">
        <v>0</v>
      </c>
      <c r="D4">
        <f>IF(C4,A4*(7-B4)/6+A4*1/6*(6-(7-B4))/6,A4*(7-B4)/6)</f>
        <v>2</v>
      </c>
      <c r="E4">
        <f>A4-D4</f>
        <v>1</v>
      </c>
      <c r="H4" t="s">
        <v>739</v>
      </c>
      <c r="I4" t="s">
        <v>740</v>
      </c>
      <c r="J4">
        <v>10</v>
      </c>
      <c r="K4">
        <v>11</v>
      </c>
      <c r="L4">
        <v>12</v>
      </c>
      <c r="M4">
        <v>13</v>
      </c>
      <c r="N4" s="58" t="s">
        <v>756</v>
      </c>
      <c r="O4" s="58" t="s">
        <v>757</v>
      </c>
      <c r="Q4">
        <v>9</v>
      </c>
      <c r="R4">
        <v>10</v>
      </c>
      <c r="S4">
        <v>11</v>
      </c>
      <c r="T4">
        <v>12</v>
      </c>
      <c r="U4">
        <v>13</v>
      </c>
      <c r="V4" s="58" t="s">
        <v>756</v>
      </c>
      <c r="W4" s="58" t="s">
        <v>757</v>
      </c>
    </row>
    <row r="5" spans="1:23" x14ac:dyDescent="0.3">
      <c r="A5" s="2">
        <v>3</v>
      </c>
      <c r="B5" s="2">
        <v>3</v>
      </c>
      <c r="C5" s="2" t="b">
        <v>1</v>
      </c>
      <c r="D5">
        <f>IF(C5,A5*(7-B5)/6+A5*1/6*(6-(7-B5))/6,A5*(7-B5)/6)</f>
        <v>2.1666666666666665</v>
      </c>
      <c r="E5">
        <f>A5-D5</f>
        <v>0.83333333333333348</v>
      </c>
      <c r="G5" t="s">
        <v>749</v>
      </c>
      <c r="H5">
        <f>5/6</f>
        <v>0.83333333333333337</v>
      </c>
      <c r="I5">
        <f>4/6</f>
        <v>0.66666666666666663</v>
      </c>
      <c r="J5">
        <f>4/6</f>
        <v>0.66666666666666663</v>
      </c>
      <c r="K5">
        <f>3/6</f>
        <v>0.5</v>
      </c>
      <c r="L5">
        <f>2/6</f>
        <v>0.33333333333333331</v>
      </c>
      <c r="M5">
        <f>1/6</f>
        <v>0.16666666666666666</v>
      </c>
      <c r="Q5">
        <f>5/6</f>
        <v>0.83333333333333337</v>
      </c>
      <c r="R5">
        <f>4/6</f>
        <v>0.66666666666666663</v>
      </c>
      <c r="S5">
        <f>3/6</f>
        <v>0.5</v>
      </c>
      <c r="T5">
        <f>2/6</f>
        <v>0.33333333333333331</v>
      </c>
      <c r="U5">
        <f>1/6</f>
        <v>0.16666666666666666</v>
      </c>
    </row>
    <row r="6" spans="1:23" x14ac:dyDescent="0.3">
      <c r="A6" s="2">
        <v>3</v>
      </c>
      <c r="B6" s="2">
        <v>4</v>
      </c>
      <c r="C6" s="2" t="b">
        <v>0</v>
      </c>
      <c r="D6">
        <f t="shared" ref="D6:D23" si="0">IF(C6,A6*(7-B6)/6+A6*1/6*(6-(7-B6))/6,A6*(7-B6)/6)</f>
        <v>1.5</v>
      </c>
      <c r="E6">
        <f t="shared" ref="E6:E23" si="1">A6-D6</f>
        <v>1.5</v>
      </c>
      <c r="G6" s="59" t="s">
        <v>0</v>
      </c>
      <c r="H6">
        <f>3/6</f>
        <v>0.5</v>
      </c>
      <c r="J6">
        <f>$H$5*$I$5*J$5*(COUNTIF(AT_Chassis!$AS$2,"="&amp;J$4)+2*COUNTIF(AT_Chassis!$BO$2,"="&amp;J$4)+2*COUNTIF(AT_Chassis!$CG$2,"="&amp;J$4))/6</f>
        <v>0.24691358024691357</v>
      </c>
      <c r="K6">
        <f>$H$5*$I$5*$J$5*(COUNTIF(AT_Chassis!$AS$2,"="&amp;K$4)+2*COUNTIF(AT_Chassis!$BO$2,"="&amp;K$4)+2*COUNTIF(AT_Chassis!$CG$2,"="&amp;K$4))/6</f>
        <v>6.1728395061728392E-2</v>
      </c>
      <c r="L6">
        <f>$H$5*$I$5*$J$5*(COUNTIF(AT_Chassis!$AS$2,"="&amp;L$4)+2*COUNTIF(AT_Chassis!$BO$2,"="&amp;L$4)+2*COUNTIF(AT_Chassis!$CG$2,"="&amp;L$4))/6</f>
        <v>0</v>
      </c>
      <c r="M6">
        <f>$H$5*$I$5*$J$5*(COUNTIF(AT_Chassis!$AS$2,"="&amp;M$4)+2*COUNTIF(AT_Chassis!$BO$2,"="&amp;M$4)+2*COUNTIF(AT_Chassis!$CG$2,"="&amp;M$4))/6</f>
        <v>0</v>
      </c>
      <c r="N6">
        <f>1/6*5/6*SUM((AT_Chassis!$AS$2-8)/6,2*(AT_Chassis!$BO$2-8)/6,2*(AT_Chassis!$CG$2-8)/6)/6</f>
        <v>4.2438271604938259E-2</v>
      </c>
      <c r="O6" s="57">
        <f>SUM(J6:N6)</f>
        <v>0.3510802469135802</v>
      </c>
      <c r="P6" s="59" t="s">
        <v>0</v>
      </c>
      <c r="Q6">
        <f>$H$5*$I$5*Q$5*(COUNTIF(AT_Chassis!$AS$2,"="&amp;J$4)+2*COUNTIF(AT_Chassis!$BO$2,"="&amp;J$4)+2*COUNTIF(AT_Chassis!$CG$2,"="&amp;J$4))/6</f>
        <v>0.30864197530864201</v>
      </c>
      <c r="R6">
        <f>$H$5*$I$5*R$5*(COUNTIF(AT_Chassis!$AS$2,"="&amp;K$4)+2*COUNTIF(AT_Chassis!$BO$2,"="&amp;K$4)+2*COUNTIF(AT_Chassis!$CG$2,"="&amp;K$4))/6</f>
        <v>6.1728395061728392E-2</v>
      </c>
      <c r="S6">
        <f>$H$5*$I$5*S$5*(COUNTIF(AT_Chassis!$AS$2,"="&amp;L$4)+2*COUNTIF(AT_Chassis!$BO$2,"="&amp;L$4)+2*COUNTIF(AT_Chassis!$CG$2,"="&amp;L$4))/6</f>
        <v>0</v>
      </c>
      <c r="T6">
        <f>$H$5*$I$5*T$5*(COUNTIF(AT_Chassis!$AS$2,"="&amp;M$4)+2*COUNTIF(AT_Chassis!$BO$2,"="&amp;M$4)+2*COUNTIF(AT_Chassis!$CG$2,"="&amp;M$4))/6</f>
        <v>0</v>
      </c>
      <c r="U6">
        <f>$H$5*$I$5*U$5*(COUNTIF(AT_Chassis!$AS$2,"="&amp;N$4)+2*COUNTIF(AT_Chassis!$BO$2,"="&amp;N$4)+2*COUNTIF(AT_Chassis!$CG$2,"="&amp;N$4))/6</f>
        <v>0</v>
      </c>
      <c r="V6">
        <f>1/6*5/6*SUM((AT_Chassis!$AS$2-9)/6,2*(AT_Chassis!$BO$2-9)/6,2*(AT_Chassis!$CG$2-9)/6)/6</f>
        <v>2.3148148148148143E-2</v>
      </c>
      <c r="W6" s="57">
        <f>SUM(Q6:V6)</f>
        <v>0.39351851851851855</v>
      </c>
    </row>
    <row r="7" spans="1:23" x14ac:dyDescent="0.3">
      <c r="A7" s="2">
        <v>3</v>
      </c>
      <c r="B7" s="2">
        <v>4</v>
      </c>
      <c r="C7" s="2" t="b">
        <v>1</v>
      </c>
      <c r="D7">
        <f t="shared" si="0"/>
        <v>1.75</v>
      </c>
      <c r="E7">
        <f t="shared" si="1"/>
        <v>1.25</v>
      </c>
      <c r="G7" s="59" t="s">
        <v>2</v>
      </c>
      <c r="J7">
        <f>$H$5*$I$5*J$5*(COUNTIF(AT_Chassis!$AS4,"="&amp;J$4)+2*COUNTIF(AT_Chassis!$BO4,"="&amp;J$4)+2*COUNTIF(AT_Chassis!$CG4,"="&amp;J$4))/6</f>
        <v>0.12345679012345678</v>
      </c>
      <c r="K7">
        <f>$H$5*$I$5*K$5*(COUNTIF(AT_Chassis!$AS4,"="&amp;K$4)+2*COUNTIF(AT_Chassis!$BO4,"="&amp;K$4)+2*COUNTIF(AT_Chassis!$CG4,"="&amp;K$4))/6</f>
        <v>0.1388888888888889</v>
      </c>
      <c r="L7">
        <f>$H$5*$I$5*L$5*(COUNTIF(AT_Chassis!$AS4,"="&amp;L$4)+2*COUNTIF(AT_Chassis!$BO4,"="&amp;L$4)+2*COUNTIF(AT_Chassis!$CG4,"="&amp;L$4))/6</f>
        <v>0</v>
      </c>
      <c r="M7">
        <f>$H$5*$I$5*M$5*(COUNTIF(AT_Chassis!$AS4,"="&amp;M$4)+2*COUNTIF(AT_Chassis!$BO4,"="&amp;M$4)+2*COUNTIF(AT_Chassis!$CG4,"="&amp;M$4))/6</f>
        <v>0</v>
      </c>
      <c r="N7">
        <f>1/6*5/6*SUM((AT_Chassis!$AS$4-8)/6,2*(AT_Chassis!$BO$4-8)/6,2*(AT_Chassis!$CG$4-8)/6)/6</f>
        <v>5.0154320987654315E-2</v>
      </c>
      <c r="O7" s="57">
        <f>SUM(J7:N7)</f>
        <v>0.3125</v>
      </c>
      <c r="P7" s="59" t="s">
        <v>2</v>
      </c>
      <c r="Q7">
        <f>$H$5*$I$5*Q$5*(COUNTIF(AT_Chassis!$AS$4,"="&amp;J$4)+2*COUNTIF(AT_Chassis!$BO$4,"="&amp;J$4)+2*COUNTIF(AT_Chassis!$CG$4,"="&amp;J$4))/6</f>
        <v>0.15432098765432101</v>
      </c>
      <c r="R7">
        <f>$H$5*$I$5*R$5*(COUNTIF(AT_Chassis!$AS$4,"="&amp;K$4)+2*COUNTIF(AT_Chassis!$BO$4,"="&amp;K$4)+2*COUNTIF(AT_Chassis!$CG$4,"="&amp;K$4))/6</f>
        <v>0.1851851851851852</v>
      </c>
      <c r="S7">
        <f>$H$5*$I$5*S$5*(COUNTIF(AT_Chassis!$AS$4,"="&amp;L$4)+2*COUNTIF(AT_Chassis!$BO$4,"="&amp;L$4)+2*COUNTIF(AT_Chassis!$CG$4,"="&amp;L$4))/6</f>
        <v>0</v>
      </c>
      <c r="T7">
        <f>$H$5*$I$5*T$5*(COUNTIF(AT_Chassis!$AS$4,"="&amp;M$4)+2*COUNTIF(AT_Chassis!$BO$4,"="&amp;M$4)+2*COUNTIF(AT_Chassis!$CG$4,"="&amp;M$4))/6</f>
        <v>0</v>
      </c>
      <c r="U7">
        <f>$H$5*$I$5*U$5*(COUNTIF(AT_Chassis!$AS$4,"="&amp;N$4)+2*COUNTIF(AT_Chassis!$BO$4,"="&amp;N$4)+2*COUNTIF(AT_Chassis!$CG$4,"="&amp;N$4))/6</f>
        <v>0</v>
      </c>
      <c r="V7">
        <f>1/6*5/6*SUM((AT_Chassis!$AS$4-9)/6,2*(AT_Chassis!$BO$4-9)/6,2*(AT_Chassis!$CG$4-9)/6)/6</f>
        <v>3.0864197530864192E-2</v>
      </c>
      <c r="W7" s="57">
        <f>SUM(Q7:V7)</f>
        <v>0.37037037037037041</v>
      </c>
    </row>
    <row r="8" spans="1:23" x14ac:dyDescent="0.3">
      <c r="A8" s="2">
        <v>4</v>
      </c>
      <c r="B8" s="2">
        <v>3</v>
      </c>
      <c r="C8" s="2" t="b">
        <v>0</v>
      </c>
      <c r="D8">
        <f t="shared" si="0"/>
        <v>2.6666666666666665</v>
      </c>
      <c r="E8">
        <f t="shared" si="1"/>
        <v>1.3333333333333335</v>
      </c>
      <c r="G8" s="59" t="s">
        <v>143</v>
      </c>
      <c r="J8">
        <f>$H$5*$I$5*J$5*(COUNTIF(AT_Chassis!$AS5,"="&amp;J$4)+2*COUNTIF(AT_Chassis!$BO5,"="&amp;J$4)+2*COUNTIF(AT_Chassis!$CG5,"="&amp;J$4))/6</f>
        <v>0</v>
      </c>
      <c r="K8">
        <f>$H$5*$I$5*K$5*(COUNTIF(AT_Chassis!$AS5,"="&amp;K$4)+2*COUNTIF(AT_Chassis!$BO5,"="&amp;K$4)+2*COUNTIF(AT_Chassis!$CG5,"="&amp;K$4))/6</f>
        <v>0.1851851851851852</v>
      </c>
      <c r="L8">
        <f>$H$5*$I$5*L$5*(COUNTIF(AT_Chassis!$AS5,"="&amp;L$4)+2*COUNTIF(AT_Chassis!$BO5,"="&amp;L$4)+2*COUNTIF(AT_Chassis!$CG5,"="&amp;L$4))/6</f>
        <v>3.0864197530864196E-2</v>
      </c>
      <c r="M8">
        <f>$H$5*$I$5*M$5*(COUNTIF(AT_Chassis!$AS5,"="&amp;M$4)+2*COUNTIF(AT_Chassis!$BO5,"="&amp;M$4)+2*COUNTIF(AT_Chassis!$CG5,"="&amp;M$4))/6</f>
        <v>0</v>
      </c>
      <c r="N8">
        <f>1/6*5/6*SUM((AT_Chassis!$AS$5-8)/6,2*(AT_Chassis!$BO$5-8)/6,2*(AT_Chassis!$CG$5-8)/6)/6</f>
        <v>6.1728395061728385E-2</v>
      </c>
      <c r="O8" s="57">
        <f>SUM(J8:N8)</f>
        <v>0.27777777777777779</v>
      </c>
      <c r="P8" s="59" t="s">
        <v>143</v>
      </c>
      <c r="Q8">
        <f>$H$5*$I$5*Q$5*(COUNTIF(AT_Chassis!$AS$4,"="&amp;J$5)+2*COUNTIF(AT_Chassis!$BO$5,"="&amp;J$4)+2*COUNTIF(AT_Chassis!$CG$5,"="&amp;J$4))/6</f>
        <v>0</v>
      </c>
      <c r="R8">
        <f>$H$5*$I$5*R$5*(COUNTIF(AT_Chassis!$AS$4,"="&amp;K$5)+2*COUNTIF(AT_Chassis!$BO$5,"="&amp;K$4)+2*COUNTIF(AT_Chassis!$CG$5,"="&amp;K$4))/6</f>
        <v>0.24691358024691357</v>
      </c>
      <c r="S8">
        <f>$H$5*$I$5*S$5*(COUNTIF(AT_Chassis!$AS$4,"="&amp;L$5)+2*COUNTIF(AT_Chassis!$BO$5,"="&amp;L$4)+2*COUNTIF(AT_Chassis!$CG$5,"="&amp;L$4))/6</f>
        <v>0</v>
      </c>
      <c r="T8">
        <f>$H$5*$I$5*T$5*(COUNTIF(AT_Chassis!$AS$4,"="&amp;M$5)+2*COUNTIF(AT_Chassis!$BO$5,"="&amp;M$4)+2*COUNTIF(AT_Chassis!$CG$5,"="&amp;M$4))/6</f>
        <v>0</v>
      </c>
      <c r="U8">
        <f>$H$5*$I$5*U$5*(COUNTIF(AT_Chassis!$AS$4,"="&amp;N$5)+2*COUNTIF(AT_Chassis!$BO$5,"="&amp;N$4)+2*COUNTIF(AT_Chassis!$CG$5,"="&amp;N$4))/6</f>
        <v>0</v>
      </c>
      <c r="V8">
        <f>1/6*5/6*SUM((AT_Chassis!$AS$5-9)/6,2*(AT_Chassis!$BO$5-9)/6,2*(AT_Chassis!$CG$5-9)/6)/6</f>
        <v>4.2438271604938259E-2</v>
      </c>
      <c r="W8" s="57">
        <f>SUM(Q8:V8)</f>
        <v>0.2893518518518518</v>
      </c>
    </row>
    <row r="9" spans="1:23" x14ac:dyDescent="0.3">
      <c r="A9" s="2">
        <v>4</v>
      </c>
      <c r="B9" s="2">
        <v>3</v>
      </c>
      <c r="C9" s="2" t="b">
        <v>1</v>
      </c>
      <c r="D9">
        <f t="shared" si="0"/>
        <v>2.8888888888888888</v>
      </c>
      <c r="E9">
        <f t="shared" si="1"/>
        <v>1.1111111111111112</v>
      </c>
      <c r="G9" s="59" t="s">
        <v>4</v>
      </c>
      <c r="J9">
        <f>$H$5*$I$5*J$5*(COUNTIF(AT_Chassis!$AS6,"="&amp;J$4)+2*COUNTIF(AT_Chassis!$BO6,"="&amp;J$4)+2*COUNTIF(AT_Chassis!$CG6,"="&amp;J$4))/6</f>
        <v>0</v>
      </c>
      <c r="K9">
        <f>$H$5*$I$5*K$5*(COUNTIF(AT_Chassis!$AS6,"="&amp;K$4)+2*COUNTIF(AT_Chassis!$BO6,"="&amp;K$4)+2*COUNTIF(AT_Chassis!$CG6,"="&amp;K$4))/6</f>
        <v>0</v>
      </c>
      <c r="L9">
        <f>$H$5*$I$5*L$5*(COUNTIF(AT_Chassis!$AS6,"="&amp;L$4)+2*COUNTIF(AT_Chassis!$BO6,"="&amp;L$4)+2*COUNTIF(AT_Chassis!$CG6,"="&amp;L$4))/6</f>
        <v>6.1728395061728392E-2</v>
      </c>
      <c r="M9">
        <f>$H$5*$I$5*M$5*(COUNTIF(AT_Chassis!$AS6,"="&amp;M$4)+2*COUNTIF(AT_Chassis!$BO6,"="&amp;M$4)+2*COUNTIF(AT_Chassis!$CG6,"="&amp;M$4))/6</f>
        <v>4.6296296296296301E-2</v>
      </c>
      <c r="N9">
        <f>1/6*5/6*SUM((AT_Chassis!$AS$6-8)/6,2*(AT_Chassis!$BO$6-8)/6,2*(AT_Chassis!$CG$6-8)/6)/6</f>
        <v>8.873456790123456E-2</v>
      </c>
      <c r="O9" s="57">
        <f>SUM(J9:N9)</f>
        <v>0.19675925925925924</v>
      </c>
      <c r="P9" s="59" t="s">
        <v>4</v>
      </c>
      <c r="Q9">
        <f>$H$5*$I$5*Q$5*(COUNTIF(AT_Chassis!$AS$6,"="&amp;J$4)+2*COUNTIF(AT_Chassis!$BO$6,"="&amp;J$4)+2*COUNTIF(AT_Chassis!$CG$6,"="&amp;J$4))/6</f>
        <v>0</v>
      </c>
      <c r="R9">
        <f>$H$5*$I$5*R$5*(COUNTIF(AT_Chassis!$AS$6,"="&amp;K$4)+2*COUNTIF(AT_Chassis!$BO$6,"="&amp;K$4)+2*COUNTIF(AT_Chassis!$CG$6,"="&amp;K$4))/6</f>
        <v>0</v>
      </c>
      <c r="S9">
        <f>$H$5*$I$5*S$5*(COUNTIF(AT_Chassis!$AS$6,"="&amp;L$4)+2*COUNTIF(AT_Chassis!$BO$6,"="&amp;L$4)+2*COUNTIF(AT_Chassis!$CG$6,"="&amp;L$4))/6</f>
        <v>9.2592592592592601E-2</v>
      </c>
      <c r="T9">
        <f>$H$5*$I$5*T$5*(COUNTIF(AT_Chassis!$AS$6,"="&amp;M$4)+2*COUNTIF(AT_Chassis!$BO$6,"="&amp;M$4)+2*COUNTIF(AT_Chassis!$CG$6,"="&amp;M$4))/6</f>
        <v>9.2592592592592601E-2</v>
      </c>
      <c r="U9">
        <f>$H$5*$I$5*U$5*(COUNTIF(AT_Chassis!$AS$6,"="&amp;N$4)+2*COUNTIF(AT_Chassis!$BO$6,"="&amp;N$4)+2*COUNTIF(AT_Chassis!$CG$6,"="&amp;N$4))/6</f>
        <v>0</v>
      </c>
      <c r="V9">
        <f>1/6*5/6*SUM((AT_Chassis!$AS$6-9)/6,2*(AT_Chassis!$BO$6-9)/6,2*(AT_Chassis!$CG$6-9)/6)/6</f>
        <v>6.9444444444444434E-2</v>
      </c>
      <c r="W9" s="57">
        <f>SUM(Q9:V9)</f>
        <v>0.25462962962962965</v>
      </c>
    </row>
    <row r="10" spans="1:23" x14ac:dyDescent="0.3">
      <c r="A10" s="2">
        <v>4</v>
      </c>
      <c r="B10" s="2">
        <v>4</v>
      </c>
      <c r="C10" s="2" t="b">
        <v>0</v>
      </c>
      <c r="D10">
        <f t="shared" si="0"/>
        <v>2</v>
      </c>
      <c r="E10">
        <f t="shared" si="1"/>
        <v>2</v>
      </c>
      <c r="G10" s="59" t="s">
        <v>6</v>
      </c>
      <c r="J10">
        <f>$H$5*$I$5*J$5*(COUNTIF(AT_Chassis!$AS8,"="&amp;J$4)+2*COUNTIF(AT_Chassis!$BO8,"="&amp;J$4)+2*COUNTIF(AT_Chassis!$CG8,"="&amp;J$4))/6</f>
        <v>0</v>
      </c>
      <c r="K10">
        <f>$H$5*$I$5*K$5*(COUNTIF(AT_Chassis!$AS8,"="&amp;K$4)+2*COUNTIF(AT_Chassis!$BO8,"="&amp;K$4)+2*COUNTIF(AT_Chassis!$CG8,"="&amp;K$4))/6</f>
        <v>0</v>
      </c>
      <c r="L10">
        <f>$H$5*$I$5*L$5*(COUNTIF(AT_Chassis!$AS8,"="&amp;L$4)+2*COUNTIF(AT_Chassis!$BO8,"="&amp;L$4)+2*COUNTIF(AT_Chassis!$CG8,"="&amp;L$4))/6</f>
        <v>0</v>
      </c>
      <c r="M10">
        <f>$H$5*$I$5*M$5*(COUNTIF(AT_Chassis!$AS8,"="&amp;M$4)+2*COUNTIF(AT_Chassis!$BO8,"="&amp;M$4)+2*COUNTIF(AT_Chassis!$CG8,"="&amp;M$4))/6</f>
        <v>7.716049382716049E-2</v>
      </c>
      <c r="N10">
        <f>1/6*5/6*SUM((AT_Chassis!$AS$8-8)/6,2*(AT_Chassis!$BO$8-8)/6,2*(AT_Chassis!$CG$8-8)/6)/6</f>
        <v>9.6450617283950602E-2</v>
      </c>
      <c r="O10" s="57">
        <f>SUM(J10:N10)</f>
        <v>0.1736111111111111</v>
      </c>
      <c r="P10" s="59" t="s">
        <v>6</v>
      </c>
      <c r="Q10">
        <f>$H$5*$I$5*Q$5*(COUNTIF(AT_Chassis!$AS$4,"="&amp;J$8)+2*COUNTIF(AT_Chassis!$BO$8,"="&amp;J$4)+2*COUNTIF(AT_Chassis!$CG$8,"="&amp;J$4))/6</f>
        <v>0</v>
      </c>
      <c r="R10">
        <f>$H$5*$I$5*R$5*(COUNTIF(AT_Chassis!$AS$4,"="&amp;K$8)+2*COUNTIF(AT_Chassis!$BO$8,"="&amp;K$4)+2*COUNTIF(AT_Chassis!$CG$8,"="&amp;K$4))/6</f>
        <v>0</v>
      </c>
      <c r="S10">
        <f>$H$5*$I$5*S$5*(COUNTIF(AT_Chassis!$AS$4,"="&amp;L$8)+2*COUNTIF(AT_Chassis!$BO$8,"="&amp;L$4)+2*COUNTIF(AT_Chassis!$CG$8,"="&amp;L$4))/6</f>
        <v>0</v>
      </c>
      <c r="T10">
        <f>$H$5*$I$5*T$5*(COUNTIF(AT_Chassis!$AS$4,"="&amp;M$8)+2*COUNTIF(AT_Chassis!$BO$8,"="&amp;M$4)+2*COUNTIF(AT_Chassis!$CG$8,"="&amp;M$4))/6</f>
        <v>0.12345679012345678</v>
      </c>
      <c r="U10">
        <f>$H$5*$I$5*U$5*(COUNTIF(AT_Chassis!$AS$4,"="&amp;N$8)+2*COUNTIF(AT_Chassis!$BO$8,"="&amp;N$4)+2*COUNTIF(AT_Chassis!$CG$8,"="&amp;N$4))/6</f>
        <v>0</v>
      </c>
      <c r="V10">
        <f>1/6*5/6*SUM((AT_Chassis!$AS$8-9)/6,2*(AT_Chassis!$BO$8-9)/6,2*(AT_Chassis!$CG$8-9)/6)/6</f>
        <v>7.7160493827160476E-2</v>
      </c>
      <c r="W10" s="57">
        <f>SUM(Q10:V10)</f>
        <v>0.20061728395061726</v>
      </c>
    </row>
    <row r="11" spans="1:23" x14ac:dyDescent="0.3">
      <c r="A11" s="2">
        <v>4</v>
      </c>
      <c r="B11" s="2">
        <v>4</v>
      </c>
      <c r="C11" s="2" t="b">
        <v>1</v>
      </c>
      <c r="D11">
        <f t="shared" si="0"/>
        <v>2.3333333333333335</v>
      </c>
      <c r="E11">
        <f t="shared" si="1"/>
        <v>1.6666666666666665</v>
      </c>
      <c r="G11" s="11" t="s">
        <v>755</v>
      </c>
    </row>
    <row r="12" spans="1:23" x14ac:dyDescent="0.3">
      <c r="A12" s="2">
        <v>5</v>
      </c>
      <c r="B12" s="2">
        <v>3</v>
      </c>
      <c r="C12" s="2" t="b">
        <v>0</v>
      </c>
      <c r="D12">
        <f t="shared" si="0"/>
        <v>3.3333333333333335</v>
      </c>
      <c r="E12">
        <f t="shared" si="1"/>
        <v>1.6666666666666665</v>
      </c>
    </row>
    <row r="13" spans="1:23" x14ac:dyDescent="0.3">
      <c r="A13" s="2">
        <v>5</v>
      </c>
      <c r="B13" s="2">
        <v>3</v>
      </c>
      <c r="C13" s="2" t="b">
        <v>1</v>
      </c>
      <c r="D13">
        <f t="shared" si="0"/>
        <v>3.6111111111111112</v>
      </c>
      <c r="E13">
        <f t="shared" si="1"/>
        <v>1.3888888888888888</v>
      </c>
      <c r="H13" s="6" t="s">
        <v>741</v>
      </c>
      <c r="J13" t="s">
        <v>866</v>
      </c>
    </row>
    <row r="14" spans="1:23" x14ac:dyDescent="0.3">
      <c r="A14" s="2">
        <v>5</v>
      </c>
      <c r="B14" s="2">
        <v>4</v>
      </c>
      <c r="C14" s="2" t="b">
        <v>0</v>
      </c>
      <c r="D14">
        <f t="shared" si="0"/>
        <v>2.5</v>
      </c>
      <c r="E14">
        <f t="shared" si="1"/>
        <v>2.5</v>
      </c>
      <c r="G14" s="11" t="s">
        <v>747</v>
      </c>
      <c r="H14" s="11" t="s">
        <v>748</v>
      </c>
      <c r="I14" s="11" t="s">
        <v>742</v>
      </c>
      <c r="J14" s="11" t="s">
        <v>743</v>
      </c>
      <c r="K14" s="11" t="s">
        <v>745</v>
      </c>
      <c r="L14" s="11" t="s">
        <v>746</v>
      </c>
      <c r="M14" s="11"/>
      <c r="N14" s="11" t="s">
        <v>744</v>
      </c>
    </row>
    <row r="15" spans="1:23" x14ac:dyDescent="0.3">
      <c r="A15" s="2">
        <v>5</v>
      </c>
      <c r="B15" s="2">
        <v>4</v>
      </c>
      <c r="C15" s="2" t="b">
        <v>1</v>
      </c>
      <c r="D15">
        <f t="shared" si="0"/>
        <v>2.9166666666666665</v>
      </c>
      <c r="E15">
        <f t="shared" si="1"/>
        <v>2.0833333333333335</v>
      </c>
      <c r="G15">
        <v>1</v>
      </c>
      <c r="H15">
        <f>4/6</f>
        <v>0.66666666666666663</v>
      </c>
      <c r="I15">
        <f>(1+2+2)/3</f>
        <v>1.6666666666666667</v>
      </c>
      <c r="J15">
        <f>0.5</f>
        <v>0.5</v>
      </c>
      <c r="K15">
        <f>H15*J15</f>
        <v>0.33333333333333331</v>
      </c>
      <c r="L15">
        <f>H15*0.5*I15</f>
        <v>0.55555555555555558</v>
      </c>
    </row>
    <row r="16" spans="1:23" x14ac:dyDescent="0.3">
      <c r="A16" s="2">
        <v>6</v>
      </c>
      <c r="B16" s="2">
        <v>3</v>
      </c>
      <c r="C16" s="2" t="b">
        <v>0</v>
      </c>
      <c r="D16">
        <f t="shared" si="0"/>
        <v>4</v>
      </c>
      <c r="E16">
        <f t="shared" si="1"/>
        <v>2</v>
      </c>
      <c r="G16">
        <v>2</v>
      </c>
      <c r="K16">
        <f t="shared" ref="K16:L26" si="2">$G16*K$15</f>
        <v>0.66666666666666663</v>
      </c>
      <c r="L16">
        <f t="shared" si="2"/>
        <v>1.1111111111111112</v>
      </c>
      <c r="N16">
        <f>K15*K15</f>
        <v>0.1111111111111111</v>
      </c>
    </row>
    <row r="17" spans="1:14" x14ac:dyDescent="0.3">
      <c r="A17" s="2">
        <v>6</v>
      </c>
      <c r="B17" s="2">
        <v>3</v>
      </c>
      <c r="C17" s="2" t="b">
        <v>1</v>
      </c>
      <c r="D17">
        <f t="shared" si="0"/>
        <v>4.333333333333333</v>
      </c>
      <c r="E17">
        <f t="shared" si="1"/>
        <v>1.666666666666667</v>
      </c>
      <c r="G17">
        <v>3</v>
      </c>
      <c r="K17">
        <f t="shared" si="2"/>
        <v>1</v>
      </c>
      <c r="L17">
        <f t="shared" si="2"/>
        <v>1.6666666666666667</v>
      </c>
      <c r="N17">
        <f t="shared" ref="N17:N26" si="3">N16+(1-N16)*$K$15</f>
        <v>0.40740740740740738</v>
      </c>
    </row>
    <row r="18" spans="1:14" x14ac:dyDescent="0.3">
      <c r="A18" s="2">
        <v>6</v>
      </c>
      <c r="B18" s="2">
        <v>4</v>
      </c>
      <c r="C18" s="2" t="b">
        <v>0</v>
      </c>
      <c r="D18">
        <f t="shared" si="0"/>
        <v>3</v>
      </c>
      <c r="E18">
        <f t="shared" si="1"/>
        <v>3</v>
      </c>
      <c r="G18">
        <v>4</v>
      </c>
      <c r="K18">
        <f t="shared" si="2"/>
        <v>1.3333333333333333</v>
      </c>
      <c r="L18">
        <f t="shared" si="2"/>
        <v>2.2222222222222223</v>
      </c>
      <c r="N18">
        <f t="shared" si="3"/>
        <v>0.60493827160493829</v>
      </c>
    </row>
    <row r="19" spans="1:14" x14ac:dyDescent="0.3">
      <c r="A19" s="2">
        <v>6</v>
      </c>
      <c r="B19" s="2">
        <v>4</v>
      </c>
      <c r="C19" s="2" t="b">
        <v>1</v>
      </c>
      <c r="D19">
        <f t="shared" si="0"/>
        <v>3.5</v>
      </c>
      <c r="E19">
        <f t="shared" si="1"/>
        <v>2.5</v>
      </c>
      <c r="G19">
        <v>5</v>
      </c>
      <c r="K19">
        <f t="shared" si="2"/>
        <v>1.6666666666666665</v>
      </c>
      <c r="L19">
        <f t="shared" si="2"/>
        <v>2.7777777777777777</v>
      </c>
      <c r="N19">
        <f t="shared" si="3"/>
        <v>0.73662551440329216</v>
      </c>
    </row>
    <row r="20" spans="1:14" x14ac:dyDescent="0.3">
      <c r="A20" s="2">
        <v>7</v>
      </c>
      <c r="B20" s="2">
        <v>3</v>
      </c>
      <c r="C20" s="2" t="b">
        <v>0</v>
      </c>
      <c r="D20">
        <f t="shared" si="0"/>
        <v>4.666666666666667</v>
      </c>
      <c r="E20">
        <f t="shared" si="1"/>
        <v>2.333333333333333</v>
      </c>
      <c r="G20">
        <v>6</v>
      </c>
      <c r="K20">
        <f>$G20*K$15</f>
        <v>2</v>
      </c>
      <c r="L20">
        <f>$G20*L$15</f>
        <v>3.3333333333333335</v>
      </c>
      <c r="N20">
        <f t="shared" si="3"/>
        <v>0.82441700960219477</v>
      </c>
    </row>
    <row r="21" spans="1:14" x14ac:dyDescent="0.3">
      <c r="A21" s="2">
        <v>7</v>
      </c>
      <c r="B21" s="2">
        <v>3</v>
      </c>
      <c r="C21" s="2" t="b">
        <v>1</v>
      </c>
      <c r="D21">
        <f t="shared" si="0"/>
        <v>5.0555555555555562</v>
      </c>
      <c r="E21">
        <f t="shared" si="1"/>
        <v>1.9444444444444438</v>
      </c>
      <c r="G21">
        <v>7</v>
      </c>
      <c r="K21">
        <f t="shared" si="2"/>
        <v>2.333333333333333</v>
      </c>
      <c r="L21">
        <f t="shared" si="2"/>
        <v>3.8888888888888893</v>
      </c>
      <c r="N21">
        <f t="shared" si="3"/>
        <v>0.88294467306812985</v>
      </c>
    </row>
    <row r="22" spans="1:14" x14ac:dyDescent="0.3">
      <c r="A22" s="2">
        <v>7</v>
      </c>
      <c r="B22" s="2">
        <v>4</v>
      </c>
      <c r="C22" s="2" t="b">
        <v>0</v>
      </c>
      <c r="D22">
        <f t="shared" si="0"/>
        <v>3.5</v>
      </c>
      <c r="E22">
        <f t="shared" si="1"/>
        <v>3.5</v>
      </c>
      <c r="G22">
        <v>8</v>
      </c>
      <c r="K22">
        <f t="shared" si="2"/>
        <v>2.6666666666666665</v>
      </c>
      <c r="L22">
        <f t="shared" si="2"/>
        <v>4.4444444444444446</v>
      </c>
      <c r="N22">
        <f t="shared" si="3"/>
        <v>0.9219631153787532</v>
      </c>
    </row>
    <row r="23" spans="1:14" x14ac:dyDescent="0.3">
      <c r="A23" s="2">
        <v>7</v>
      </c>
      <c r="B23" s="2">
        <v>4</v>
      </c>
      <c r="C23" s="2" t="b">
        <v>1</v>
      </c>
      <c r="D23">
        <f t="shared" si="0"/>
        <v>4.083333333333333</v>
      </c>
      <c r="E23">
        <f t="shared" si="1"/>
        <v>2.916666666666667</v>
      </c>
      <c r="G23">
        <v>9</v>
      </c>
      <c r="K23">
        <f t="shared" si="2"/>
        <v>3</v>
      </c>
      <c r="L23">
        <f t="shared" si="2"/>
        <v>5</v>
      </c>
      <c r="N23">
        <f t="shared" si="3"/>
        <v>0.94797541025250209</v>
      </c>
    </row>
    <row r="24" spans="1:14" x14ac:dyDescent="0.3">
      <c r="A24" s="2">
        <v>8</v>
      </c>
      <c r="B24" s="2">
        <v>3</v>
      </c>
      <c r="C24" s="2" t="b">
        <v>0</v>
      </c>
      <c r="D24">
        <f t="shared" ref="D24:D31" si="4">IF(C24,A24*(7-B24)/6+A24*1/6*(6-(7-B24))/6,A24*(7-B24)/6)</f>
        <v>5.333333333333333</v>
      </c>
      <c r="E24">
        <f t="shared" ref="E24:E31" si="5">A24-D24</f>
        <v>2.666666666666667</v>
      </c>
      <c r="G24">
        <v>10</v>
      </c>
      <c r="K24">
        <f t="shared" si="2"/>
        <v>3.333333333333333</v>
      </c>
      <c r="L24">
        <f t="shared" si="2"/>
        <v>5.5555555555555554</v>
      </c>
      <c r="N24">
        <f t="shared" si="3"/>
        <v>0.96531694016833469</v>
      </c>
    </row>
    <row r="25" spans="1:14" x14ac:dyDescent="0.3">
      <c r="A25" s="2">
        <v>8</v>
      </c>
      <c r="B25" s="2">
        <v>3</v>
      </c>
      <c r="C25" s="2" t="b">
        <v>1</v>
      </c>
      <c r="D25">
        <f t="shared" si="4"/>
        <v>5.7777777777777777</v>
      </c>
      <c r="E25">
        <f t="shared" si="5"/>
        <v>2.2222222222222223</v>
      </c>
      <c r="G25">
        <v>11</v>
      </c>
      <c r="K25">
        <f t="shared" si="2"/>
        <v>3.6666666666666665</v>
      </c>
      <c r="L25">
        <f t="shared" si="2"/>
        <v>6.1111111111111116</v>
      </c>
      <c r="N25">
        <f t="shared" si="3"/>
        <v>0.97687796011222316</v>
      </c>
    </row>
    <row r="26" spans="1:14" x14ac:dyDescent="0.3">
      <c r="A26" s="2">
        <v>8</v>
      </c>
      <c r="B26" s="2">
        <v>4</v>
      </c>
      <c r="C26" s="2" t="b">
        <v>0</v>
      </c>
      <c r="D26">
        <f t="shared" si="4"/>
        <v>4</v>
      </c>
      <c r="E26">
        <f t="shared" si="5"/>
        <v>4</v>
      </c>
      <c r="G26">
        <v>12</v>
      </c>
      <c r="K26">
        <f t="shared" si="2"/>
        <v>4</v>
      </c>
      <c r="L26">
        <f t="shared" si="2"/>
        <v>6.666666666666667</v>
      </c>
      <c r="N26">
        <f t="shared" si="3"/>
        <v>0.98458530674148215</v>
      </c>
    </row>
    <row r="27" spans="1:14" x14ac:dyDescent="0.3">
      <c r="A27" s="2">
        <v>8</v>
      </c>
      <c r="B27" s="2">
        <v>4</v>
      </c>
      <c r="C27" s="2" t="b">
        <v>1</v>
      </c>
      <c r="D27">
        <f t="shared" si="4"/>
        <v>4.666666666666667</v>
      </c>
      <c r="E27">
        <f t="shared" si="5"/>
        <v>3.333333333333333</v>
      </c>
    </row>
    <row r="28" spans="1:14" x14ac:dyDescent="0.3">
      <c r="A28" s="2">
        <v>9</v>
      </c>
      <c r="B28" s="2">
        <v>3</v>
      </c>
      <c r="C28" s="2" t="b">
        <v>0</v>
      </c>
      <c r="D28">
        <f t="shared" si="4"/>
        <v>6</v>
      </c>
      <c r="E28">
        <f t="shared" si="5"/>
        <v>3</v>
      </c>
    </row>
    <row r="29" spans="1:14" x14ac:dyDescent="0.3">
      <c r="A29" s="2">
        <v>9</v>
      </c>
      <c r="B29" s="2">
        <v>3</v>
      </c>
      <c r="C29" s="2" t="b">
        <v>1</v>
      </c>
      <c r="D29">
        <f t="shared" si="4"/>
        <v>6.5</v>
      </c>
      <c r="E29">
        <f t="shared" si="5"/>
        <v>2.5</v>
      </c>
      <c r="H29" s="6" t="s">
        <v>750</v>
      </c>
    </row>
    <row r="30" spans="1:14" x14ac:dyDescent="0.3">
      <c r="A30" s="2">
        <v>9</v>
      </c>
      <c r="B30" s="2">
        <v>4</v>
      </c>
      <c r="C30" s="2" t="b">
        <v>0</v>
      </c>
      <c r="D30">
        <f t="shared" si="4"/>
        <v>4.5</v>
      </c>
      <c r="E30">
        <f t="shared" si="5"/>
        <v>4.5</v>
      </c>
      <c r="H30" t="s">
        <v>751</v>
      </c>
      <c r="I30" t="s">
        <v>200</v>
      </c>
      <c r="J30" t="s">
        <v>752</v>
      </c>
      <c r="K30" t="s">
        <v>753</v>
      </c>
      <c r="L30" t="s">
        <v>753</v>
      </c>
      <c r="M30" t="s">
        <v>180</v>
      </c>
    </row>
    <row r="31" spans="1:14" x14ac:dyDescent="0.3">
      <c r="A31" s="2">
        <v>9</v>
      </c>
      <c r="B31" s="2">
        <v>4</v>
      </c>
      <c r="C31" s="2" t="b">
        <v>1</v>
      </c>
      <c r="D31">
        <f t="shared" si="4"/>
        <v>5.25</v>
      </c>
      <c r="E31">
        <f t="shared" si="5"/>
        <v>3.75</v>
      </c>
    </row>
    <row r="32" spans="1:14" x14ac:dyDescent="0.3">
      <c r="H32" s="6" t="s">
        <v>761</v>
      </c>
    </row>
    <row r="33" spans="7:15" x14ac:dyDescent="0.3">
      <c r="H33" t="s">
        <v>751</v>
      </c>
      <c r="I33" t="s">
        <v>200</v>
      </c>
      <c r="J33" t="s">
        <v>762</v>
      </c>
      <c r="K33" t="s">
        <v>763</v>
      </c>
      <c r="L33" t="s">
        <v>180</v>
      </c>
      <c r="M33" t="s">
        <v>767</v>
      </c>
      <c r="N33" t="s">
        <v>769</v>
      </c>
    </row>
    <row r="34" spans="7:15" x14ac:dyDescent="0.3">
      <c r="G34" t="s">
        <v>764</v>
      </c>
      <c r="H34">
        <f>SUM(AT_Chassis!AS2:AS6,AT8)/6</f>
        <v>9.6666666666666661</v>
      </c>
      <c r="I34">
        <f>SUM(AT_Chassis!BO2:BO6,BL8)/6</f>
        <v>8.8333333333333339</v>
      </c>
      <c r="J34">
        <f>SUM(AT_Chassis!CG2:CG6,CD8)/6</f>
        <v>9.3333333333333339</v>
      </c>
      <c r="M34" cm="1">
        <f t="array" ref="M34">SUM(H34:J34/3)</f>
        <v>9.2777777777777768</v>
      </c>
      <c r="N34" t="s">
        <v>768</v>
      </c>
    </row>
    <row r="35" spans="7:15" x14ac:dyDescent="0.3">
      <c r="G35" t="s">
        <v>765</v>
      </c>
      <c r="H35">
        <f>SUM(AT_Chassis!AT2:AT6,AU8)/6</f>
        <v>12</v>
      </c>
      <c r="I35">
        <f>SUM(AT_Chassis!BP2:BP6,BM8)/6</f>
        <v>10.833333333333334</v>
      </c>
      <c r="J35">
        <f>SUM(AT_Chassis!CH2:CH6,CE8)/6</f>
        <v>11.333333333333334</v>
      </c>
      <c r="M35" cm="1">
        <f t="array" ref="M35">SUM(H35:J35/3)</f>
        <v>11.388888888888889</v>
      </c>
      <c r="N35">
        <f>M35-M34</f>
        <v>2.1111111111111125</v>
      </c>
    </row>
    <row r="36" spans="7:15" x14ac:dyDescent="0.3">
      <c r="G36" t="s">
        <v>766</v>
      </c>
      <c r="H36">
        <f>SUM(AT_Chassis!AU2:AU6,AV8)/6</f>
        <v>13.666666666666666</v>
      </c>
      <c r="I36">
        <f>SUM(AT_Chassis!BQ2:BQ6,BN8)/6</f>
        <v>12.666666666666666</v>
      </c>
      <c r="J36">
        <f>SUM(AT_Chassis!CI2:CI6,CF8)/6</f>
        <v>12.833333333333334</v>
      </c>
      <c r="M36" cm="1">
        <f t="array" ref="M36">SUM(H36:J36/3)</f>
        <v>13.055555555555557</v>
      </c>
      <c r="N36">
        <f>M36-M34</f>
        <v>3.7777777777777803</v>
      </c>
    </row>
    <row r="37" spans="7:15" x14ac:dyDescent="0.3">
      <c r="M37" s="61" t="s">
        <v>781</v>
      </c>
      <c r="N37" s="61" t="s">
        <v>782</v>
      </c>
      <c r="O37" s="61" t="s">
        <v>771</v>
      </c>
    </row>
    <row r="38" spans="7:15" x14ac:dyDescent="0.3">
      <c r="H38" s="4" t="s">
        <v>770</v>
      </c>
      <c r="M38">
        <v>9</v>
      </c>
      <c r="N38">
        <f>1+(M38-M$34)/N$35</f>
        <v>0.86842105263157954</v>
      </c>
      <c r="O38">
        <f>(M38/9)^2.25</f>
        <v>1</v>
      </c>
    </row>
    <row r="39" spans="7:15" x14ac:dyDescent="0.3">
      <c r="H39" t="s">
        <v>772</v>
      </c>
      <c r="M39">
        <v>10</v>
      </c>
      <c r="N39">
        <f t="shared" ref="N39:N46" si="6">1+(M39-M$34)/N$35</f>
        <v>1.3421052631578949</v>
      </c>
      <c r="O39">
        <f t="shared" ref="O39:O46" si="7">(M39/9)^2.25</f>
        <v>1.2675186371362235</v>
      </c>
    </row>
    <row r="40" spans="7:15" x14ac:dyDescent="0.3">
      <c r="H40" s="4" t="s">
        <v>773</v>
      </c>
      <c r="M40">
        <v>11</v>
      </c>
      <c r="N40">
        <f t="shared" si="6"/>
        <v>1.8157894736842106</v>
      </c>
      <c r="O40">
        <f t="shared" si="7"/>
        <v>1.5706806568276481</v>
      </c>
    </row>
    <row r="41" spans="7:15" x14ac:dyDescent="0.3">
      <c r="M41">
        <v>12</v>
      </c>
      <c r="N41">
        <f t="shared" si="6"/>
        <v>2.2894736842105257</v>
      </c>
      <c r="O41">
        <f t="shared" si="7"/>
        <v>1.9103465454640742</v>
      </c>
    </row>
    <row r="42" spans="7:15" x14ac:dyDescent="0.3">
      <c r="M42">
        <v>13</v>
      </c>
      <c r="N42">
        <f t="shared" si="6"/>
        <v>2.7631578947368416</v>
      </c>
      <c r="O42">
        <f t="shared" si="7"/>
        <v>2.2873198369944188</v>
      </c>
    </row>
    <row r="43" spans="7:15" x14ac:dyDescent="0.3">
      <c r="M43">
        <v>14</v>
      </c>
      <c r="N43">
        <f t="shared" si="6"/>
        <v>3.2368421052631571</v>
      </c>
      <c r="O43">
        <f t="shared" si="7"/>
        <v>2.7023552095949119</v>
      </c>
    </row>
    <row r="44" spans="7:15" x14ac:dyDescent="0.3">
      <c r="M44">
        <v>15</v>
      </c>
      <c r="N44">
        <f t="shared" si="6"/>
        <v>3.7105263157894726</v>
      </c>
      <c r="O44">
        <f t="shared" si="7"/>
        <v>3.1561649068541651</v>
      </c>
    </row>
    <row r="45" spans="7:15" x14ac:dyDescent="0.3">
      <c r="M45">
        <v>16</v>
      </c>
      <c r="N45">
        <f t="shared" si="6"/>
        <v>4.1842105263157876</v>
      </c>
      <c r="O45">
        <f t="shared" si="7"/>
        <v>3.6494239237665229</v>
      </c>
    </row>
    <row r="46" spans="7:15" x14ac:dyDescent="0.3">
      <c r="M46">
        <v>17</v>
      </c>
      <c r="N46">
        <f t="shared" si="6"/>
        <v>4.6578947368421035</v>
      </c>
      <c r="O46">
        <f t="shared" si="7"/>
        <v>4.1827742607078218</v>
      </c>
    </row>
    <row r="49" spans="1:7" x14ac:dyDescent="0.3">
      <c r="A49" s="6" t="s">
        <v>839</v>
      </c>
    </row>
    <row r="50" spans="1:7" x14ac:dyDescent="0.3">
      <c r="A50" t="s">
        <v>830</v>
      </c>
      <c r="G50" t="s">
        <v>842</v>
      </c>
    </row>
    <row r="51" spans="1:7" x14ac:dyDescent="0.3">
      <c r="A51" t="s">
        <v>831</v>
      </c>
    </row>
    <row r="52" spans="1:7" x14ac:dyDescent="0.3">
      <c r="A52" t="s">
        <v>832</v>
      </c>
    </row>
    <row r="53" spans="1:7" x14ac:dyDescent="0.3">
      <c r="A53" t="s">
        <v>833</v>
      </c>
    </row>
    <row r="54" spans="1:7" x14ac:dyDescent="0.3">
      <c r="A54" t="s">
        <v>843</v>
      </c>
    </row>
    <row r="55" spans="1:7" x14ac:dyDescent="0.3">
      <c r="A55" t="s">
        <v>834</v>
      </c>
    </row>
    <row r="56" spans="1:7" x14ac:dyDescent="0.3">
      <c r="A56" t="s">
        <v>835</v>
      </c>
    </row>
    <row r="57" spans="1:7" x14ac:dyDescent="0.3">
      <c r="A57" t="s">
        <v>844</v>
      </c>
    </row>
    <row r="59" spans="1:7" x14ac:dyDescent="0.3">
      <c r="A59" t="s">
        <v>836</v>
      </c>
    </row>
    <row r="60" spans="1:7" x14ac:dyDescent="0.3">
      <c r="A60" t="s">
        <v>848</v>
      </c>
    </row>
    <row r="61" spans="1:7" x14ac:dyDescent="0.3">
      <c r="A61" t="s">
        <v>847</v>
      </c>
    </row>
    <row r="62" spans="1:7" x14ac:dyDescent="0.3">
      <c r="A62" t="s">
        <v>837</v>
      </c>
    </row>
    <row r="63" spans="1:7" x14ac:dyDescent="0.3">
      <c r="A63" t="s">
        <v>838</v>
      </c>
    </row>
    <row r="65" spans="1:1" x14ac:dyDescent="0.3">
      <c r="A65" t="s">
        <v>840</v>
      </c>
    </row>
    <row r="66" spans="1:1" x14ac:dyDescent="0.3">
      <c r="A66" t="s">
        <v>841</v>
      </c>
    </row>
    <row r="68" spans="1:1" x14ac:dyDescent="0.3">
      <c r="A68" t="s">
        <v>849</v>
      </c>
    </row>
    <row r="69" spans="1:1" x14ac:dyDescent="0.3">
      <c r="A69" t="s">
        <v>850</v>
      </c>
    </row>
    <row r="71" spans="1:1" x14ac:dyDescent="0.3">
      <c r="A71" t="s">
        <v>845</v>
      </c>
    </row>
    <row r="72" spans="1:1" x14ac:dyDescent="0.3">
      <c r="A72" t="s">
        <v>846</v>
      </c>
    </row>
  </sheetData>
  <mergeCells count="2">
    <mergeCell ref="J3:M3"/>
    <mergeCell ref="Q3:V3"/>
  </mergeCells>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AT_Chassis</vt:lpstr>
      <vt:lpstr>AT_Weapons</vt:lpstr>
      <vt:lpstr>40K9_Stats</vt:lpstr>
      <vt:lpstr>HH_Stats</vt:lpstr>
      <vt:lpstr>Epic_Stats</vt:lpstr>
      <vt:lpstr>Assumptions</vt:lpstr>
      <vt:lpstr>To Do</vt:lpstr>
      <vt:lpstr>Other_Stats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 Fancy Man</dc:creator>
  <cp:lastModifiedBy>Richard Acock</cp:lastModifiedBy>
  <dcterms:created xsi:type="dcterms:W3CDTF">2022-02-28T10:13:55Z</dcterms:created>
  <dcterms:modified xsi:type="dcterms:W3CDTF">2026-08-31T17:40:04Z</dcterms:modified>
</cp:coreProperties>
</file>